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695" yWindow="-315" windowWidth="14835" windowHeight="8010" activeTab="1"/>
  </bookViews>
  <sheets>
    <sheet name="CE1" sheetId="9" r:id="rId1"/>
    <sheet name="CE2" sheetId="8" r:id="rId2"/>
    <sheet name="CM1" sheetId="1" r:id="rId3"/>
    <sheet name="CM2" sheetId="10" r:id="rId4"/>
  </sheets>
  <calcPr calcId="145621"/>
</workbook>
</file>

<file path=xl/calcChain.xml><?xml version="1.0" encoding="utf-8"?>
<calcChain xmlns="http://schemas.openxmlformats.org/spreadsheetml/2006/main">
  <c r="C12" i="10" l="1"/>
  <c r="C6" i="10"/>
  <c r="C42" i="10" l="1"/>
  <c r="F42" i="10" l="1"/>
  <c r="F41" i="10"/>
  <c r="F40" i="10"/>
  <c r="F37" i="10"/>
  <c r="F36" i="10"/>
  <c r="F35" i="10"/>
  <c r="F34" i="10"/>
  <c r="F33" i="10"/>
  <c r="F32" i="10"/>
  <c r="F31" i="10"/>
  <c r="F30" i="10"/>
  <c r="F29" i="10"/>
  <c r="F26" i="10"/>
  <c r="F25" i="10"/>
  <c r="F24" i="10"/>
  <c r="F23" i="10"/>
  <c r="F22" i="10"/>
  <c r="F21" i="10"/>
  <c r="F20" i="10"/>
  <c r="F19" i="10"/>
  <c r="F18" i="10"/>
  <c r="F17" i="10"/>
  <c r="F16" i="10"/>
  <c r="F15" i="10"/>
  <c r="F12" i="10"/>
  <c r="F11" i="10"/>
  <c r="F10" i="10"/>
  <c r="F9" i="10"/>
  <c r="F8" i="10"/>
  <c r="F7" i="10"/>
  <c r="F6" i="10"/>
  <c r="C41" i="10"/>
  <c r="C39" i="10"/>
  <c r="C38" i="10"/>
  <c r="C36" i="10"/>
  <c r="C35" i="10"/>
  <c r="C34" i="10"/>
  <c r="C31" i="10"/>
  <c r="C30" i="10"/>
  <c r="C29" i="10"/>
  <c r="C28" i="10"/>
  <c r="C27" i="10"/>
  <c r="C26" i="10"/>
  <c r="C25" i="10"/>
  <c r="C24" i="10"/>
  <c r="C23" i="10"/>
  <c r="C21" i="10"/>
  <c r="C20" i="10"/>
  <c r="C19" i="10"/>
  <c r="C18" i="10"/>
  <c r="C17" i="10"/>
  <c r="C16" i="10"/>
  <c r="C14" i="10"/>
  <c r="C13" i="10"/>
  <c r="C11" i="10"/>
  <c r="C10" i="10"/>
  <c r="C9" i="10"/>
  <c r="C7" i="10"/>
  <c r="F41" i="8"/>
  <c r="F40" i="8"/>
  <c r="F39" i="8"/>
  <c r="F36" i="8"/>
  <c r="F35" i="8"/>
  <c r="F34" i="8"/>
  <c r="F33" i="8"/>
  <c r="F32" i="8"/>
  <c r="F31" i="8"/>
  <c r="F30" i="8"/>
  <c r="F29" i="8"/>
  <c r="F28" i="8"/>
  <c r="F25" i="8"/>
  <c r="F24" i="8"/>
  <c r="F23" i="8"/>
  <c r="F22" i="8"/>
  <c r="F21" i="8"/>
  <c r="F20" i="8"/>
  <c r="F19" i="8"/>
  <c r="F18" i="8"/>
  <c r="F17" i="8"/>
  <c r="F16" i="8"/>
  <c r="F15" i="8"/>
  <c r="F12" i="8"/>
  <c r="F11" i="8"/>
  <c r="F10" i="8"/>
  <c r="F9" i="8"/>
  <c r="F8" i="8"/>
  <c r="F7" i="8"/>
  <c r="F6" i="8"/>
  <c r="C39" i="8"/>
  <c r="C38" i="8"/>
  <c r="C36" i="8"/>
  <c r="C35" i="8"/>
  <c r="C34" i="8"/>
  <c r="C31" i="8"/>
  <c r="C30" i="8"/>
  <c r="C29" i="8"/>
  <c r="C28" i="8"/>
  <c r="C27" i="8"/>
  <c r="C26" i="8"/>
  <c r="C25" i="8"/>
  <c r="C24" i="8"/>
  <c r="C23" i="8"/>
  <c r="C21" i="8"/>
  <c r="C20" i="8"/>
  <c r="C19" i="8"/>
  <c r="C18" i="8"/>
  <c r="C17" i="8"/>
  <c r="C16" i="8"/>
  <c r="C14" i="8"/>
  <c r="C13" i="8"/>
  <c r="C12" i="8"/>
  <c r="C11" i="8"/>
  <c r="C10" i="8"/>
  <c r="C9" i="8"/>
  <c r="C7" i="8"/>
  <c r="C6" i="8"/>
  <c r="F41" i="9"/>
  <c r="F40" i="9"/>
  <c r="F39" i="9"/>
  <c r="F36" i="9"/>
  <c r="F35" i="9"/>
  <c r="F34" i="9"/>
  <c r="F33" i="9"/>
  <c r="F32" i="9"/>
  <c r="F31" i="9"/>
  <c r="F30" i="9"/>
  <c r="F29" i="9"/>
  <c r="F28" i="9"/>
  <c r="F25" i="9"/>
  <c r="F24" i="9"/>
  <c r="F23" i="9"/>
  <c r="F22" i="9"/>
  <c r="F21" i="9"/>
  <c r="F20" i="9"/>
  <c r="F19" i="9"/>
  <c r="F18" i="9"/>
  <c r="F17" i="9"/>
  <c r="F16" i="9"/>
  <c r="F15" i="9"/>
  <c r="F12" i="9"/>
  <c r="F11" i="9"/>
  <c r="F10" i="9"/>
  <c r="F9" i="9"/>
  <c r="F8" i="9"/>
  <c r="F7" i="9"/>
  <c r="F6" i="9"/>
  <c r="C39" i="9"/>
  <c r="C38" i="9"/>
  <c r="C36" i="9"/>
  <c r="C35" i="9"/>
  <c r="C34" i="9"/>
  <c r="C31" i="9"/>
  <c r="C30" i="9"/>
  <c r="C29" i="9"/>
  <c r="C28" i="9"/>
  <c r="C27" i="9"/>
  <c r="C26" i="9"/>
  <c r="C25" i="9"/>
  <c r="C24" i="9"/>
  <c r="C23" i="9"/>
  <c r="C21" i="9"/>
  <c r="C20" i="9"/>
  <c r="C19" i="9"/>
  <c r="C18" i="9"/>
  <c r="C17" i="9"/>
  <c r="C16" i="9"/>
  <c r="C14" i="9"/>
  <c r="C13" i="9"/>
  <c r="C12" i="9"/>
  <c r="C11" i="9"/>
  <c r="C10" i="9"/>
  <c r="C9" i="9"/>
  <c r="C7" i="9"/>
  <c r="C6" i="9"/>
  <c r="C12" i="1" l="1"/>
  <c r="C11" i="1"/>
  <c r="C10" i="1"/>
  <c r="F10" i="1"/>
  <c r="F11" i="1"/>
  <c r="F12" i="1"/>
  <c r="C13" i="1"/>
  <c r="C14" i="1"/>
  <c r="F15" i="1"/>
  <c r="C16" i="1"/>
  <c r="F16" i="1"/>
  <c r="C17" i="1"/>
  <c r="F17" i="1"/>
  <c r="C18" i="1"/>
  <c r="F18" i="1"/>
  <c r="C19" i="1"/>
  <c r="F19" i="1"/>
  <c r="C20" i="1"/>
  <c r="F20" i="1"/>
  <c r="C21" i="1"/>
  <c r="F21" i="1"/>
  <c r="F22" i="1"/>
  <c r="C23" i="1"/>
  <c r="F23" i="1"/>
  <c r="C24" i="1"/>
  <c r="F24" i="1"/>
  <c r="C25" i="1"/>
  <c r="F25" i="1"/>
  <c r="C26" i="1"/>
  <c r="C27" i="1"/>
  <c r="C28" i="1"/>
  <c r="F28" i="1"/>
  <c r="C29" i="1"/>
  <c r="F29" i="1"/>
  <c r="C30" i="1"/>
  <c r="F30" i="1"/>
  <c r="C31" i="1"/>
  <c r="F31" i="1"/>
  <c r="F32" i="1"/>
  <c r="F33" i="1"/>
  <c r="C34" i="1"/>
  <c r="F34" i="1"/>
  <c r="C35" i="1"/>
  <c r="F35" i="1"/>
  <c r="C36" i="1"/>
  <c r="F36" i="1"/>
  <c r="C38" i="1"/>
  <c r="C39" i="1"/>
  <c r="F39" i="1"/>
  <c r="F40" i="1"/>
  <c r="F41" i="1"/>
  <c r="F9" i="1"/>
  <c r="F8" i="1"/>
  <c r="F7" i="1"/>
  <c r="F6" i="1"/>
  <c r="C9" i="1"/>
  <c r="C7" i="1"/>
  <c r="C6" i="1"/>
</calcChain>
</file>

<file path=xl/sharedStrings.xml><?xml version="1.0" encoding="utf-8"?>
<sst xmlns="http://schemas.openxmlformats.org/spreadsheetml/2006/main" count="312" uniqueCount="76">
  <si>
    <t>BALE</t>
  </si>
  <si>
    <t>CM1</t>
  </si>
  <si>
    <t>Nom Prénom :</t>
  </si>
  <si>
    <t>Date de passation :</t>
  </si>
  <si>
    <t>Date de naissance :</t>
  </si>
  <si>
    <t>Age :</t>
  </si>
  <si>
    <t>SCORE</t>
  </si>
  <si>
    <r>
      <rPr>
        <sz val="12"/>
        <color indexed="8"/>
        <rFont val="Calibri"/>
        <family val="2"/>
      </rPr>
      <t>É-</t>
    </r>
    <r>
      <rPr>
        <sz val="12"/>
        <color indexed="8"/>
        <rFont val="Calibri"/>
        <family val="2"/>
      </rPr>
      <t>T</t>
    </r>
  </si>
  <si>
    <t>LANGAGE ÉCRIT</t>
  </si>
  <si>
    <r>
      <rPr>
        <b/>
        <sz val="11"/>
        <color indexed="8"/>
        <rFont val="Calibri"/>
        <family val="2"/>
      </rPr>
      <t>M</t>
    </r>
    <r>
      <rPr>
        <sz val="11"/>
        <color theme="1"/>
        <rFont val="Calibri"/>
        <family val="2"/>
        <scheme val="minor"/>
      </rPr>
      <t>onsieur Petit</t>
    </r>
  </si>
  <si>
    <r>
      <rPr>
        <b/>
        <sz val="11"/>
        <color indexed="8"/>
        <rFont val="Calibri"/>
        <family val="2"/>
      </rPr>
      <t>G</t>
    </r>
    <r>
      <rPr>
        <sz val="11"/>
        <color theme="1"/>
        <rFont val="Calibri"/>
        <family val="2"/>
        <scheme val="minor"/>
      </rPr>
      <t>éant égoïste</t>
    </r>
  </si>
  <si>
    <r>
      <rPr>
        <b/>
        <sz val="11"/>
        <color indexed="8"/>
        <rFont val="Calibri"/>
        <family val="2"/>
      </rPr>
      <t>L</t>
    </r>
    <r>
      <rPr>
        <sz val="11"/>
        <color theme="1"/>
        <rFont val="Calibri"/>
        <family val="2"/>
        <scheme val="minor"/>
      </rPr>
      <t>ecture mots fréquents</t>
    </r>
  </si>
  <si>
    <t>- irréguliers Score</t>
  </si>
  <si>
    <t>- irréguliers Temps</t>
  </si>
  <si>
    <t>- réguliers Score</t>
  </si>
  <si>
    <t>- réguliers Temps</t>
  </si>
  <si>
    <t>- pseudo-mots Score</t>
  </si>
  <si>
    <t>- pseudo-mots Temps</t>
  </si>
  <si>
    <r>
      <rPr>
        <b/>
        <sz val="11"/>
        <color indexed="8"/>
        <rFont val="Calibri"/>
        <family val="2"/>
      </rPr>
      <t>L</t>
    </r>
    <r>
      <rPr>
        <sz val="11"/>
        <color theme="1"/>
        <rFont val="Calibri"/>
        <family val="2"/>
        <scheme val="minor"/>
      </rPr>
      <t>ecture mots peu fréquents</t>
    </r>
  </si>
  <si>
    <r>
      <rPr>
        <b/>
        <sz val="11"/>
        <color indexed="8"/>
        <rFont val="Calibri"/>
        <family val="2"/>
      </rPr>
      <t>L</t>
    </r>
    <r>
      <rPr>
        <sz val="11"/>
        <color theme="1"/>
        <rFont val="Calibri"/>
        <family val="2"/>
        <scheme val="minor"/>
      </rPr>
      <t>ecture phonologique Score</t>
    </r>
  </si>
  <si>
    <r>
      <rPr>
        <b/>
        <sz val="11"/>
        <color indexed="8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 xml:space="preserve">  Lecture phonologique Temps</t>
    </r>
  </si>
  <si>
    <r>
      <rPr>
        <b/>
        <sz val="11"/>
        <color indexed="8"/>
        <rFont val="Calibri"/>
        <family val="2"/>
      </rPr>
      <t>C</t>
    </r>
    <r>
      <rPr>
        <sz val="11"/>
        <color theme="1"/>
        <rFont val="Calibri"/>
        <family val="2"/>
        <scheme val="minor"/>
      </rPr>
      <t>onversion graph.-phonème</t>
    </r>
  </si>
  <si>
    <r>
      <rPr>
        <b/>
        <sz val="11"/>
        <color indexed="8"/>
        <rFont val="Calibri"/>
        <family val="2"/>
      </rPr>
      <t>L</t>
    </r>
    <r>
      <rPr>
        <sz val="11"/>
        <color theme="1"/>
        <rFont val="Calibri"/>
        <family val="2"/>
        <scheme val="minor"/>
      </rPr>
      <t>ecture de lettres Score</t>
    </r>
  </si>
  <si>
    <t xml:space="preserve">   Lecture de lettres Temps</t>
  </si>
  <si>
    <r>
      <rPr>
        <b/>
        <sz val="11"/>
        <color indexed="8"/>
        <rFont val="Calibri"/>
        <family val="2"/>
      </rPr>
      <t>L</t>
    </r>
    <r>
      <rPr>
        <sz val="11"/>
        <color theme="1"/>
        <rFont val="Calibri"/>
        <family val="2"/>
        <scheme val="minor"/>
      </rPr>
      <t>ecture de chiffres Score</t>
    </r>
  </si>
  <si>
    <t xml:space="preserve">   Lecture de chiffres Temps</t>
  </si>
  <si>
    <r>
      <rPr>
        <b/>
        <sz val="11"/>
        <color indexed="8"/>
        <rFont val="Calibri"/>
        <family val="2"/>
      </rPr>
      <t>C</t>
    </r>
    <r>
      <rPr>
        <sz val="11"/>
        <color theme="1"/>
        <rFont val="Calibri"/>
        <family val="2"/>
        <scheme val="minor"/>
      </rPr>
      <t>ompréh. de l'écrit Score</t>
    </r>
  </si>
  <si>
    <t xml:space="preserve">   Compréh. de l'écrit Temps</t>
  </si>
  <si>
    <r>
      <rPr>
        <b/>
        <sz val="11"/>
        <color indexed="8"/>
        <rFont val="Calibri"/>
        <family val="2"/>
      </rPr>
      <t>D</t>
    </r>
    <r>
      <rPr>
        <sz val="11"/>
        <color theme="1"/>
        <rFont val="Calibri"/>
        <family val="2"/>
        <scheme val="minor"/>
      </rPr>
      <t>ictée de mots</t>
    </r>
  </si>
  <si>
    <t>- réguliers</t>
  </si>
  <si>
    <t>- complexes</t>
  </si>
  <si>
    <t>- irréguliers</t>
  </si>
  <si>
    <r>
      <rPr>
        <b/>
        <sz val="11"/>
        <color indexed="8"/>
        <rFont val="Calibri"/>
        <family val="2"/>
      </rPr>
      <t>D</t>
    </r>
    <r>
      <rPr>
        <sz val="11"/>
        <color theme="1"/>
        <rFont val="Calibri"/>
        <family val="2"/>
        <scheme val="minor"/>
      </rPr>
      <t>ictée de non-mots</t>
    </r>
  </si>
  <si>
    <t>- bisyllabiques</t>
  </si>
  <si>
    <t>- trisyllabiques</t>
  </si>
  <si>
    <t>LANGAGE ORAL</t>
  </si>
  <si>
    <r>
      <rPr>
        <b/>
        <sz val="11"/>
        <color indexed="8"/>
        <rFont val="Calibri"/>
        <family val="2"/>
      </rPr>
      <t>R</t>
    </r>
    <r>
      <rPr>
        <sz val="11"/>
        <color theme="1"/>
        <rFont val="Calibri"/>
        <family val="2"/>
        <scheme val="minor"/>
      </rPr>
      <t>épétition de mots</t>
    </r>
  </si>
  <si>
    <r>
      <rPr>
        <b/>
        <sz val="11"/>
        <color indexed="8"/>
        <rFont val="Calibri"/>
        <family val="2"/>
      </rPr>
      <t>R</t>
    </r>
    <r>
      <rPr>
        <sz val="11"/>
        <color theme="1"/>
        <rFont val="Calibri"/>
        <family val="2"/>
        <scheme val="minor"/>
      </rPr>
      <t>épétition de peudo-mots</t>
    </r>
  </si>
  <si>
    <r>
      <rPr>
        <b/>
        <sz val="11"/>
        <color indexed="8"/>
        <rFont val="Calibri"/>
        <family val="2"/>
      </rPr>
      <t>R</t>
    </r>
    <r>
      <rPr>
        <sz val="11"/>
        <color theme="1"/>
        <rFont val="Calibri"/>
        <family val="2"/>
        <scheme val="minor"/>
      </rPr>
      <t>épétition de logatomes</t>
    </r>
  </si>
  <si>
    <r>
      <rPr>
        <b/>
        <sz val="11"/>
        <color indexed="8"/>
        <rFont val="Calibri"/>
        <family val="2"/>
      </rPr>
      <t>F</t>
    </r>
    <r>
      <rPr>
        <sz val="11"/>
        <color theme="1"/>
        <rFont val="Calibri"/>
        <family val="2"/>
        <scheme val="minor"/>
      </rPr>
      <t>luence phonologique</t>
    </r>
  </si>
  <si>
    <r>
      <rPr>
        <b/>
        <sz val="11"/>
        <color indexed="8"/>
        <rFont val="Calibri"/>
        <family val="2"/>
      </rPr>
      <t>V</t>
    </r>
    <r>
      <rPr>
        <sz val="11"/>
        <color theme="1"/>
        <rFont val="Calibri"/>
        <family val="2"/>
        <scheme val="minor"/>
      </rPr>
      <t>ocabulaire actif</t>
    </r>
  </si>
  <si>
    <r>
      <rPr>
        <b/>
        <sz val="11"/>
        <color indexed="8"/>
        <rFont val="Calibri"/>
        <family val="2"/>
      </rPr>
      <t>V</t>
    </r>
    <r>
      <rPr>
        <sz val="11"/>
        <color theme="1"/>
        <rFont val="Calibri"/>
        <family val="2"/>
        <scheme val="minor"/>
      </rPr>
      <t>ocabulaire passif</t>
    </r>
  </si>
  <si>
    <r>
      <rPr>
        <b/>
        <sz val="11"/>
        <color indexed="8"/>
        <rFont val="Calibri"/>
        <family val="2"/>
      </rPr>
      <t>C</t>
    </r>
    <r>
      <rPr>
        <sz val="11"/>
        <color theme="1"/>
        <rFont val="Calibri"/>
        <family val="2"/>
        <scheme val="minor"/>
      </rPr>
      <t>ompréhension orale</t>
    </r>
  </si>
  <si>
    <t>PHONOLOGIE</t>
  </si>
  <si>
    <r>
      <rPr>
        <b/>
        <sz val="11"/>
        <color indexed="8"/>
        <rFont val="Calibri"/>
        <family val="2"/>
      </rPr>
      <t>D</t>
    </r>
    <r>
      <rPr>
        <sz val="11"/>
        <color theme="1"/>
        <rFont val="Calibri"/>
        <family val="2"/>
        <scheme val="minor"/>
      </rPr>
      <t>iscrimination</t>
    </r>
  </si>
  <si>
    <r>
      <rPr>
        <b/>
        <sz val="11"/>
        <color indexed="8"/>
        <rFont val="Calibri"/>
        <family val="2"/>
      </rPr>
      <t>T</t>
    </r>
    <r>
      <rPr>
        <sz val="11"/>
        <color theme="1"/>
        <rFont val="Calibri"/>
        <family val="2"/>
        <scheme val="minor"/>
      </rPr>
      <t>emps déno rapide images</t>
    </r>
  </si>
  <si>
    <r>
      <rPr>
        <b/>
        <sz val="11"/>
        <color indexed="8"/>
        <rFont val="Calibri"/>
        <family val="2"/>
      </rPr>
      <t>T</t>
    </r>
    <r>
      <rPr>
        <sz val="11"/>
        <color theme="1"/>
        <rFont val="Calibri"/>
        <family val="2"/>
        <scheme val="minor"/>
      </rPr>
      <t>emps Déno rapide voyelles</t>
    </r>
  </si>
  <si>
    <r>
      <rPr>
        <b/>
        <sz val="11"/>
        <color indexed="8"/>
        <rFont val="Calibri"/>
        <family val="2"/>
      </rPr>
      <t>R</t>
    </r>
    <r>
      <rPr>
        <sz val="11"/>
        <color theme="1"/>
        <rFont val="Calibri"/>
        <family val="2"/>
        <scheme val="minor"/>
      </rPr>
      <t>imes</t>
    </r>
  </si>
  <si>
    <r>
      <rPr>
        <b/>
        <sz val="11"/>
        <color indexed="8"/>
        <rFont val="Calibri"/>
        <family val="2"/>
      </rPr>
      <t>S</t>
    </r>
    <r>
      <rPr>
        <sz val="11"/>
        <color theme="1"/>
        <rFont val="Calibri"/>
        <family val="2"/>
        <scheme val="minor"/>
      </rPr>
      <t>uppression syllabique</t>
    </r>
  </si>
  <si>
    <r>
      <rPr>
        <b/>
        <sz val="11"/>
        <color indexed="8"/>
        <rFont val="Calibri"/>
        <family val="2"/>
      </rPr>
      <t>F</t>
    </r>
    <r>
      <rPr>
        <sz val="11"/>
        <color theme="1"/>
        <rFont val="Calibri"/>
        <family val="2"/>
        <scheme val="minor"/>
      </rPr>
      <t>usion de phonèmes Score</t>
    </r>
  </si>
  <si>
    <r>
      <rPr>
        <b/>
        <sz val="11"/>
        <color indexed="8"/>
        <rFont val="Calibri"/>
        <family val="2"/>
      </rPr>
      <t>I</t>
    </r>
    <r>
      <rPr>
        <sz val="11"/>
        <color theme="1"/>
        <rFont val="Calibri"/>
        <family val="2"/>
        <scheme val="minor"/>
      </rPr>
      <t>dent. consonne initiale</t>
    </r>
  </si>
  <si>
    <r>
      <rPr>
        <b/>
        <sz val="11"/>
        <color indexed="8"/>
        <rFont val="Calibri"/>
        <family val="2"/>
      </rPr>
      <t>S</t>
    </r>
    <r>
      <rPr>
        <sz val="11"/>
        <color theme="1"/>
        <rFont val="Calibri"/>
        <family val="2"/>
        <scheme val="minor"/>
      </rPr>
      <t>egmentation phonémique</t>
    </r>
  </si>
  <si>
    <r>
      <rPr>
        <b/>
        <sz val="11"/>
        <color indexed="8"/>
        <rFont val="Calibri"/>
        <family val="2"/>
      </rPr>
      <t>S</t>
    </r>
    <r>
      <rPr>
        <sz val="11"/>
        <color theme="1"/>
        <rFont val="Calibri"/>
        <family val="2"/>
        <scheme val="minor"/>
      </rPr>
      <t>uppression phonème initial</t>
    </r>
  </si>
  <si>
    <r>
      <rPr>
        <b/>
        <sz val="11"/>
        <color indexed="8"/>
        <rFont val="Calibri"/>
        <family val="2"/>
      </rPr>
      <t>S</t>
    </r>
    <r>
      <rPr>
        <sz val="11"/>
        <color theme="1"/>
        <rFont val="Calibri"/>
        <family val="2"/>
        <scheme val="minor"/>
      </rPr>
      <t>uppression phonème final</t>
    </r>
  </si>
  <si>
    <r>
      <rPr>
        <b/>
        <sz val="11"/>
        <color indexed="8"/>
        <rFont val="Calibri"/>
        <family val="2"/>
      </rPr>
      <t>R</t>
    </r>
    <r>
      <rPr>
        <sz val="11"/>
        <color theme="1"/>
        <rFont val="Calibri"/>
        <family val="2"/>
        <scheme val="minor"/>
      </rPr>
      <t>epérage formes phon.</t>
    </r>
  </si>
  <si>
    <t>ÉPREUVES VISUELLES</t>
  </si>
  <si>
    <r>
      <rPr>
        <b/>
        <sz val="11"/>
        <color indexed="8"/>
        <rFont val="Calibri"/>
        <family val="2"/>
      </rPr>
      <t>B</t>
    </r>
    <r>
      <rPr>
        <sz val="11"/>
        <color theme="1"/>
        <rFont val="Calibri"/>
        <family val="2"/>
        <scheme val="minor"/>
      </rPr>
      <t>arrage de cloches</t>
    </r>
  </si>
  <si>
    <r>
      <rPr>
        <b/>
        <sz val="11"/>
        <color indexed="8"/>
        <rFont val="Calibri"/>
        <family val="2"/>
      </rPr>
      <t>C</t>
    </r>
    <r>
      <rPr>
        <sz val="11"/>
        <color theme="1"/>
        <rFont val="Calibri"/>
        <family val="2"/>
        <scheme val="minor"/>
      </rPr>
      <t>omp. Séqu. lettres Score</t>
    </r>
  </si>
  <si>
    <t xml:space="preserve">   Comp. Séqu. lettres Temps</t>
  </si>
  <si>
    <r>
      <rPr>
        <b/>
        <sz val="11"/>
        <color indexed="8"/>
        <rFont val="Calibri"/>
        <family val="2"/>
      </rPr>
      <t>D</t>
    </r>
    <r>
      <rPr>
        <sz val="11"/>
        <color theme="1"/>
        <rFont val="Calibri"/>
        <family val="2"/>
        <scheme val="minor"/>
      </rPr>
      <t>EUX colonnes Score</t>
    </r>
  </si>
  <si>
    <t xml:space="preserve">   DEUX colonnes Temps</t>
  </si>
  <si>
    <r>
      <rPr>
        <b/>
        <sz val="11"/>
        <color indexed="8"/>
        <rFont val="Calibri"/>
        <family val="2"/>
      </rPr>
      <t>D</t>
    </r>
    <r>
      <rPr>
        <sz val="11"/>
        <color theme="1"/>
        <rFont val="Calibri"/>
        <family val="2"/>
        <scheme val="minor"/>
      </rPr>
      <t>EUX anarchiques Score</t>
    </r>
  </si>
  <si>
    <t xml:space="preserve">   DEUX anarchiques Temps</t>
  </si>
  <si>
    <r>
      <rPr>
        <b/>
        <sz val="11"/>
        <color indexed="8"/>
        <rFont val="Calibri"/>
        <family val="2"/>
      </rPr>
      <t>D</t>
    </r>
    <r>
      <rPr>
        <sz val="11"/>
        <color theme="1"/>
        <rFont val="Calibri"/>
        <family val="2"/>
        <scheme val="minor"/>
      </rPr>
      <t>iscrimination des contours</t>
    </r>
  </si>
  <si>
    <r>
      <rPr>
        <b/>
        <sz val="11"/>
        <color indexed="8"/>
        <rFont val="Calibri"/>
        <family val="2"/>
      </rPr>
      <t>R</t>
    </r>
    <r>
      <rPr>
        <sz val="11"/>
        <color theme="1"/>
        <rFont val="Calibri"/>
        <family val="2"/>
        <scheme val="minor"/>
      </rPr>
      <t>eproduction figures</t>
    </r>
  </si>
  <si>
    <t>MÉMOIRE</t>
  </si>
  <si>
    <r>
      <rPr>
        <b/>
        <sz val="11"/>
        <color indexed="8"/>
        <rFont val="Calibri"/>
        <family val="2"/>
      </rPr>
      <t>E</t>
    </r>
    <r>
      <rPr>
        <sz val="11"/>
        <color theme="1"/>
        <rFont val="Calibri"/>
        <family val="2"/>
        <scheme val="minor"/>
      </rPr>
      <t>mpan de chiffres endroit</t>
    </r>
  </si>
  <si>
    <r>
      <rPr>
        <b/>
        <sz val="11"/>
        <color indexed="8"/>
        <rFont val="Calibri"/>
        <family val="2"/>
      </rPr>
      <t>E</t>
    </r>
    <r>
      <rPr>
        <sz val="11"/>
        <color theme="1"/>
        <rFont val="Calibri"/>
        <family val="2"/>
        <scheme val="minor"/>
      </rPr>
      <t>mpan de chiffres envers</t>
    </r>
  </si>
  <si>
    <r>
      <rPr>
        <b/>
        <sz val="11"/>
        <color indexed="8"/>
        <rFont val="Calibri"/>
        <family val="2"/>
      </rPr>
      <t>E</t>
    </r>
    <r>
      <rPr>
        <sz val="11"/>
        <color theme="1"/>
        <rFont val="Calibri"/>
        <family val="2"/>
        <scheme val="minor"/>
      </rPr>
      <t>mpan de mots</t>
    </r>
  </si>
  <si>
    <t>CE1</t>
  </si>
  <si>
    <t>CE2</t>
  </si>
  <si>
    <t>CM2</t>
  </si>
  <si>
    <r>
      <rPr>
        <b/>
        <sz val="11"/>
        <color indexed="8"/>
        <rFont val="Calibri"/>
        <family val="2"/>
      </rPr>
      <t>D</t>
    </r>
    <r>
      <rPr>
        <sz val="11"/>
        <color theme="1"/>
        <rFont val="Calibri"/>
        <family val="2"/>
        <scheme val="minor"/>
      </rPr>
      <t>ictée de phrases</t>
    </r>
  </si>
  <si>
    <t>- usage</t>
  </si>
  <si>
    <t>- accord</t>
  </si>
  <si>
    <t xml:space="preserve">   Fusion de phonèmes Temps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</si>
</sst>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4"/>
      <color theme="1"/>
      <name val="Cambria"/>
      <family val="1"/>
      <scheme val="major"/>
    </font>
    <font>
      <sz val="12"/>
      <color theme="1"/>
      <name val="Calibri"/>
      <family val="2"/>
      <scheme val="minor"/>
    </font>
    <font>
      <sz val="12"/>
      <color indexed="8"/>
      <name val="Calibri"/>
      <family val="2"/>
    </font>
    <font>
      <b/>
      <sz val="11"/>
      <color indexed="8"/>
      <name val="Calibri"/>
      <family val="2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164" fontId="3" fillId="0" borderId="0" xfId="1" applyNumberFormat="1" applyFont="1" applyBorder="1" applyAlignment="1">
      <alignment vertical="center"/>
    </xf>
    <xf numFmtId="1" fontId="0" fillId="0" borderId="0" xfId="0" applyNumberFormat="1" applyAlignment="1">
      <alignment horizontal="center"/>
    </xf>
    <xf numFmtId="2" fontId="4" fillId="0" borderId="1" xfId="0" applyNumberFormat="1" applyFont="1" applyBorder="1" applyAlignment="1">
      <alignment horizontal="center"/>
    </xf>
    <xf numFmtId="49" fontId="0" fillId="0" borderId="0" xfId="0" applyNumberFormat="1"/>
    <xf numFmtId="1" fontId="5" fillId="0" borderId="0" xfId="0" applyNumberFormat="1" applyFont="1" applyAlignment="1">
      <alignment horizontal="center"/>
    </xf>
    <xf numFmtId="2" fontId="5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9" fontId="1" fillId="0" borderId="2" xfId="0" applyNumberFormat="1" applyFont="1" applyBorder="1"/>
    <xf numFmtId="1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" fontId="0" fillId="0" borderId="5" xfId="0" applyNumberFormat="1" applyBorder="1" applyAlignment="1" applyProtection="1">
      <alignment horizontal="center"/>
      <protection locked="0"/>
    </xf>
    <xf numFmtId="164" fontId="0" fillId="0" borderId="6" xfId="0" applyNumberFormat="1" applyBorder="1" applyAlignment="1">
      <alignment horizontal="center"/>
    </xf>
    <xf numFmtId="1" fontId="0" fillId="0" borderId="0" xfId="0" applyNumberFormat="1" applyBorder="1" applyAlignment="1" applyProtection="1">
      <alignment horizontal="center"/>
    </xf>
    <xf numFmtId="164" fontId="0" fillId="0" borderId="4" xfId="0" applyNumberFormat="1" applyBorder="1" applyAlignment="1" applyProtection="1">
      <alignment horizontal="center"/>
    </xf>
    <xf numFmtId="49" fontId="0" fillId="0" borderId="7" xfId="0" applyNumberFormat="1" applyBorder="1"/>
    <xf numFmtId="1" fontId="0" fillId="0" borderId="0" xfId="0" applyNumberFormat="1" applyBorder="1" applyAlignment="1">
      <alignment horizontal="center"/>
    </xf>
    <xf numFmtId="1" fontId="0" fillId="0" borderId="8" xfId="0" applyNumberFormat="1" applyBorder="1" applyAlignment="1" applyProtection="1">
      <alignment horizontal="center"/>
      <protection locked="0"/>
    </xf>
    <xf numFmtId="164" fontId="0" fillId="0" borderId="9" xfId="0" applyNumberFormat="1" applyBorder="1" applyAlignment="1">
      <alignment horizontal="center"/>
    </xf>
    <xf numFmtId="49" fontId="0" fillId="0" borderId="0" xfId="0" applyNumberFormat="1" applyFill="1" applyBorder="1"/>
    <xf numFmtId="2" fontId="0" fillId="0" borderId="0" xfId="0" applyNumberFormat="1" applyAlignment="1">
      <alignment horizontal="center"/>
    </xf>
    <xf numFmtId="2" fontId="0" fillId="0" borderId="0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0" xfId="0" applyNumberFormat="1" applyBorder="1" applyAlignment="1" applyProtection="1">
      <alignment horizontal="center"/>
    </xf>
    <xf numFmtId="49" fontId="8" fillId="0" borderId="0" xfId="0" applyNumberFormat="1" applyFont="1" applyBorder="1"/>
    <xf numFmtId="164" fontId="3" fillId="0" borderId="0" xfId="1" applyNumberFormat="1" applyFont="1" applyBorder="1" applyAlignment="1" applyProtection="1">
      <alignment horizontal="left" vertical="center"/>
      <protection locked="0"/>
    </xf>
    <xf numFmtId="164" fontId="3" fillId="0" borderId="0" xfId="1" applyNumberFormat="1" applyFont="1" applyAlignment="1" applyProtection="1">
      <alignment horizontal="left" vertical="center"/>
      <protection locked="0"/>
    </xf>
    <xf numFmtId="49" fontId="0" fillId="0" borderId="0" xfId="0" applyNumberForma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view="pageLayout" topLeftCell="A36" zoomScaleNormal="100" workbookViewId="0">
      <selection activeCell="F28" sqref="F28:F41"/>
    </sheetView>
  </sheetViews>
  <sheetFormatPr baseColWidth="10" defaultRowHeight="15" x14ac:dyDescent="0.25"/>
  <cols>
    <col min="1" max="1" width="25.7109375" style="4" customWidth="1"/>
    <col min="2" max="2" width="8.7109375" style="2" customWidth="1"/>
    <col min="3" max="3" width="8.7109375" style="21" customWidth="1"/>
    <col min="4" max="4" width="25.7109375" style="4" customWidth="1"/>
    <col min="5" max="5" width="8.7109375" style="2" customWidth="1"/>
    <col min="6" max="6" width="8.7109375" style="21" customWidth="1"/>
  </cols>
  <sheetData>
    <row r="1" spans="1:6" ht="18" customHeight="1" thickBot="1" x14ac:dyDescent="0.3">
      <c r="A1" s="1"/>
      <c r="C1" s="3" t="s">
        <v>0</v>
      </c>
      <c r="F1" s="3" t="s">
        <v>69</v>
      </c>
    </row>
    <row r="2" spans="1:6" ht="18" customHeight="1" x14ac:dyDescent="0.25">
      <c r="A2" s="26" t="s">
        <v>2</v>
      </c>
      <c r="B2" s="26"/>
      <c r="C2" s="26"/>
      <c r="D2" s="27" t="s">
        <v>3</v>
      </c>
      <c r="E2" s="27"/>
      <c r="F2" s="27"/>
    </row>
    <row r="3" spans="1:6" ht="18" customHeight="1" x14ac:dyDescent="0.25">
      <c r="A3" s="26" t="s">
        <v>4</v>
      </c>
      <c r="B3" s="26"/>
      <c r="C3" s="26"/>
      <c r="D3" s="27" t="s">
        <v>5</v>
      </c>
      <c r="E3" s="27"/>
      <c r="F3" s="27"/>
    </row>
    <row r="4" spans="1:6" ht="18" customHeight="1" thickBot="1" x14ac:dyDescent="0.3">
      <c r="B4" s="5" t="s">
        <v>6</v>
      </c>
      <c r="C4" s="6" t="s">
        <v>7</v>
      </c>
      <c r="D4" s="7"/>
      <c r="E4" s="5" t="s">
        <v>6</v>
      </c>
      <c r="F4" s="6" t="s">
        <v>7</v>
      </c>
    </row>
    <row r="5" spans="1:6" ht="18" customHeight="1" thickBot="1" x14ac:dyDescent="0.3">
      <c r="A5" s="8" t="s">
        <v>8</v>
      </c>
      <c r="B5" s="9"/>
      <c r="C5" s="10"/>
      <c r="D5" s="8" t="s">
        <v>35</v>
      </c>
      <c r="E5" s="9"/>
      <c r="F5" s="11"/>
    </row>
    <row r="6" spans="1:6" ht="18" customHeight="1" x14ac:dyDescent="0.25">
      <c r="A6" s="4" t="s">
        <v>9</v>
      </c>
      <c r="B6" s="12"/>
      <c r="C6" s="10" t="str">
        <f>IF(B6="","",(B6-67.8)/28.1)</f>
        <v/>
      </c>
      <c r="D6" s="4" t="s">
        <v>36</v>
      </c>
      <c r="E6" s="12"/>
      <c r="F6" s="13" t="str">
        <f>IF(E6="","",(E6-15.5)/0.9)</f>
        <v/>
      </c>
    </row>
    <row r="7" spans="1:6" ht="18" customHeight="1" x14ac:dyDescent="0.25">
      <c r="A7" s="4" t="s">
        <v>10</v>
      </c>
      <c r="B7" s="12"/>
      <c r="C7" s="10" t="str">
        <f>IF(B7="","",(B7-61.9)/24.5)</f>
        <v/>
      </c>
      <c r="D7" s="4" t="s">
        <v>37</v>
      </c>
      <c r="E7" s="12"/>
      <c r="F7" s="13" t="str">
        <f>IF(E7="","",(E7-15.3)/1)</f>
        <v/>
      </c>
    </row>
    <row r="8" spans="1:6" ht="18" customHeight="1" x14ac:dyDescent="0.25">
      <c r="A8" s="4" t="s">
        <v>11</v>
      </c>
      <c r="B8" s="14"/>
      <c r="C8" s="15"/>
      <c r="D8" s="4" t="s">
        <v>38</v>
      </c>
      <c r="E8" s="12"/>
      <c r="F8" s="13" t="str">
        <f>IF(E8="","",(E8-18.4)/1.5)</f>
        <v/>
      </c>
    </row>
    <row r="9" spans="1:6" ht="18" customHeight="1" x14ac:dyDescent="0.25">
      <c r="A9" s="4" t="s">
        <v>12</v>
      </c>
      <c r="B9" s="12"/>
      <c r="C9" s="10" t="str">
        <f>IF(B9="","",(B9-14.5)/3.8)</f>
        <v/>
      </c>
      <c r="D9" s="4" t="s">
        <v>39</v>
      </c>
      <c r="E9" s="12"/>
      <c r="F9" s="13" t="str">
        <f>IF(E9="","",(E9-7.2)/3.3)</f>
        <v/>
      </c>
    </row>
    <row r="10" spans="1:6" ht="18" customHeight="1" x14ac:dyDescent="0.25">
      <c r="A10" s="4" t="s">
        <v>13</v>
      </c>
      <c r="B10" s="12"/>
      <c r="C10" s="10" t="str">
        <f>IF(B10="","",-(B10-47.1)/31.1)</f>
        <v/>
      </c>
      <c r="D10" s="4" t="s">
        <v>40</v>
      </c>
      <c r="E10" s="12"/>
      <c r="F10" s="13" t="str">
        <f>IF(E10="","",(E10-18.3)/5.5)</f>
        <v/>
      </c>
    </row>
    <row r="11" spans="1:6" ht="18" customHeight="1" x14ac:dyDescent="0.25">
      <c r="A11" s="4" t="s">
        <v>14</v>
      </c>
      <c r="B11" s="12"/>
      <c r="C11" s="10" t="str">
        <f>IF(B11="","",(B11-18.1)/2.5)</f>
        <v/>
      </c>
      <c r="D11" s="4" t="s">
        <v>41</v>
      </c>
      <c r="E11" s="12"/>
      <c r="F11" s="13" t="str">
        <f>IF(E11="","",(E11-25.1)/3.2)</f>
        <v/>
      </c>
    </row>
    <row r="12" spans="1:6" ht="18" customHeight="1" x14ac:dyDescent="0.25">
      <c r="A12" s="4" t="s">
        <v>15</v>
      </c>
      <c r="B12" s="12"/>
      <c r="C12" s="10" t="str">
        <f>IF(B12="","",-(B12-37)/21.8)</f>
        <v/>
      </c>
      <c r="D12" s="4" t="s">
        <v>42</v>
      </c>
      <c r="E12" s="12"/>
      <c r="F12" s="13" t="str">
        <f>IF(E12="","",(E12-15.4)/2)</f>
        <v/>
      </c>
    </row>
    <row r="13" spans="1:6" ht="18" customHeight="1" thickBot="1" x14ac:dyDescent="0.3">
      <c r="A13" s="4" t="s">
        <v>16</v>
      </c>
      <c r="B13" s="12"/>
      <c r="C13" s="11" t="str">
        <f>IF(B13="","",(B13-15.3)/3.4)</f>
        <v/>
      </c>
      <c r="D13" s="16"/>
      <c r="E13" s="17"/>
      <c r="F13" s="11"/>
    </row>
    <row r="14" spans="1:6" ht="18" customHeight="1" thickBot="1" x14ac:dyDescent="0.3">
      <c r="A14" s="4" t="s">
        <v>17</v>
      </c>
      <c r="B14" s="12"/>
      <c r="C14" s="10" t="str">
        <f>IF(B14="","",-(B14-46.6)/23.4)</f>
        <v/>
      </c>
      <c r="D14" s="8" t="s">
        <v>43</v>
      </c>
      <c r="E14" s="9"/>
      <c r="F14" s="11"/>
    </row>
    <row r="15" spans="1:6" ht="18" customHeight="1" x14ac:dyDescent="0.25">
      <c r="A15" s="4" t="s">
        <v>18</v>
      </c>
      <c r="B15" s="17"/>
      <c r="C15" s="10"/>
      <c r="D15" s="4" t="s">
        <v>44</v>
      </c>
      <c r="E15" s="12"/>
      <c r="F15" s="13" t="str">
        <f>IF(E15="","",(E15-13.6)/1)</f>
        <v/>
      </c>
    </row>
    <row r="16" spans="1:6" ht="18" customHeight="1" x14ac:dyDescent="0.25">
      <c r="A16" s="4" t="s">
        <v>12</v>
      </c>
      <c r="B16" s="12"/>
      <c r="C16" s="10" t="str">
        <f>IF(B16="","",(B16-7.8)/4.9)</f>
        <v/>
      </c>
      <c r="D16" s="4" t="s">
        <v>45</v>
      </c>
      <c r="E16" s="12"/>
      <c r="F16" s="13" t="str">
        <f>IF(E16="","",-(E16-26.3)/6.7)</f>
        <v/>
      </c>
    </row>
    <row r="17" spans="1:6" ht="18" customHeight="1" x14ac:dyDescent="0.25">
      <c r="A17" s="4" t="s">
        <v>13</v>
      </c>
      <c r="B17" s="12"/>
      <c r="C17" s="10" t="str">
        <f>IF(B17="","",-(B17-57)/30.9)</f>
        <v/>
      </c>
      <c r="D17" s="4" t="s">
        <v>46</v>
      </c>
      <c r="E17" s="12"/>
      <c r="F17" s="13" t="str">
        <f>IF(E17="","",-(E17-17.3)/5.3)</f>
        <v/>
      </c>
    </row>
    <row r="18" spans="1:6" ht="18" customHeight="1" x14ac:dyDescent="0.25">
      <c r="A18" s="4" t="s">
        <v>14</v>
      </c>
      <c r="B18" s="12"/>
      <c r="C18" s="10" t="str">
        <f>IF(B18="","",(B18-16)/3.5)</f>
        <v/>
      </c>
      <c r="D18" s="4" t="s">
        <v>47</v>
      </c>
      <c r="E18" s="12"/>
      <c r="F18" s="13" t="str">
        <f>IF(E18="","",(E18-13.9)/2)</f>
        <v/>
      </c>
    </row>
    <row r="19" spans="1:6" ht="18" customHeight="1" x14ac:dyDescent="0.25">
      <c r="A19" s="4" t="s">
        <v>15</v>
      </c>
      <c r="B19" s="12"/>
      <c r="C19" s="10" t="str">
        <f>IF(B19="","",-(B19-44.7)/23.3)</f>
        <v/>
      </c>
      <c r="D19" s="4" t="s">
        <v>48</v>
      </c>
      <c r="E19" s="12"/>
      <c r="F19" s="13" t="str">
        <f>IF(E19="","",(E19-10.3)/2)</f>
        <v/>
      </c>
    </row>
    <row r="20" spans="1:6" ht="18" customHeight="1" x14ac:dyDescent="0.25">
      <c r="A20" s="4" t="s">
        <v>16</v>
      </c>
      <c r="B20" s="12"/>
      <c r="C20" s="10" t="str">
        <f>IF(B20="","",(B20-14.7)/3.4)</f>
        <v/>
      </c>
      <c r="D20" s="4" t="s">
        <v>49</v>
      </c>
      <c r="E20" s="12"/>
      <c r="F20" s="13" t="str">
        <f>IF(E20="","",(E20-6.5)/2.8)</f>
        <v/>
      </c>
    </row>
    <row r="21" spans="1:6" ht="18" customHeight="1" x14ac:dyDescent="0.25">
      <c r="A21" s="4" t="s">
        <v>17</v>
      </c>
      <c r="B21" s="12"/>
      <c r="C21" s="10" t="str">
        <f>IF(B21="","",-(B21-48.5)/21.5)</f>
        <v/>
      </c>
      <c r="D21" s="4" t="s">
        <v>50</v>
      </c>
      <c r="E21" s="12"/>
      <c r="F21" s="13" t="str">
        <f>IF(E21="","",(E21-6.7)/2.6)</f>
        <v/>
      </c>
    </row>
    <row r="22" spans="1:6" ht="18" customHeight="1" x14ac:dyDescent="0.25">
      <c r="B22" s="17"/>
      <c r="C22" s="10"/>
      <c r="D22" s="4" t="s">
        <v>51</v>
      </c>
      <c r="E22" s="12"/>
      <c r="F22" s="13" t="str">
        <f>IF(E22="","",(E22-4.9)/2)</f>
        <v/>
      </c>
    </row>
    <row r="23" spans="1:6" ht="18" customHeight="1" x14ac:dyDescent="0.25">
      <c r="A23" s="4" t="s">
        <v>19</v>
      </c>
      <c r="B23" s="12"/>
      <c r="C23" s="10" t="str">
        <f>IF(B23="","",(B23-9.5)/2.8)</f>
        <v/>
      </c>
      <c r="D23" s="4" t="s">
        <v>52</v>
      </c>
      <c r="E23" s="12"/>
      <c r="F23" s="13" t="str">
        <f>IF(E23="","",(E23-6.2)/3)</f>
        <v/>
      </c>
    </row>
    <row r="24" spans="1:6" ht="18" customHeight="1" x14ac:dyDescent="0.25">
      <c r="A24" s="4" t="s">
        <v>20</v>
      </c>
      <c r="B24" s="12"/>
      <c r="C24" s="10" t="str">
        <f>IF(B24="","",-(B24-157.3)/45.8)</f>
        <v/>
      </c>
      <c r="D24" s="4" t="s">
        <v>53</v>
      </c>
      <c r="E24" s="12"/>
      <c r="F24" s="13" t="str">
        <f>IF(E24="","",(E24-5.7)/3.4)</f>
        <v/>
      </c>
    </row>
    <row r="25" spans="1:6" ht="18" customHeight="1" x14ac:dyDescent="0.25">
      <c r="A25" s="4" t="s">
        <v>21</v>
      </c>
      <c r="B25" s="12"/>
      <c r="C25" s="10" t="str">
        <f>IF(B25="","",(B25-40.9)/3.8)</f>
        <v/>
      </c>
      <c r="D25" s="4" t="s">
        <v>54</v>
      </c>
      <c r="E25" s="12"/>
      <c r="F25" s="13" t="str">
        <f>IF(E25="","",(E25-4.1)/1.2)</f>
        <v/>
      </c>
    </row>
    <row r="26" spans="1:6" ht="18" customHeight="1" thickBot="1" x14ac:dyDescent="0.3">
      <c r="A26" s="4" t="s">
        <v>22</v>
      </c>
      <c r="B26" s="12"/>
      <c r="C26" s="23" t="str">
        <f>IF(B26="","",(B26-48.7)/1.7)</f>
        <v/>
      </c>
      <c r="D26" s="16"/>
      <c r="E26" s="17"/>
      <c r="F26" s="11"/>
    </row>
    <row r="27" spans="1:6" ht="18" customHeight="1" thickBot="1" x14ac:dyDescent="0.3">
      <c r="A27" s="4" t="s">
        <v>23</v>
      </c>
      <c r="B27" s="12"/>
      <c r="C27" s="11" t="str">
        <f>IF(B27="","",-(B27-58.2)/38.9)</f>
        <v/>
      </c>
      <c r="D27" s="8" t="s">
        <v>55</v>
      </c>
      <c r="E27" s="9"/>
      <c r="F27" s="11"/>
    </row>
    <row r="28" spans="1:6" ht="18" customHeight="1" x14ac:dyDescent="0.25">
      <c r="A28" s="4" t="s">
        <v>24</v>
      </c>
      <c r="B28" s="12"/>
      <c r="C28" s="10" t="str">
        <f>IF(B28="","",(B28-49.9)/0.7)</f>
        <v/>
      </c>
      <c r="D28" s="4" t="s">
        <v>56</v>
      </c>
      <c r="E28" s="12"/>
      <c r="F28" s="13" t="str">
        <f>IF(E28="","",(E28-26.8)/4.2)</f>
        <v/>
      </c>
    </row>
    <row r="29" spans="1:6" ht="18" customHeight="1" x14ac:dyDescent="0.25">
      <c r="A29" s="4" t="s">
        <v>25</v>
      </c>
      <c r="B29" s="12"/>
      <c r="C29" s="10" t="str">
        <f>IF(B29="","",-(B29-38.9)/8.1)</f>
        <v/>
      </c>
      <c r="D29" s="4" t="s">
        <v>57</v>
      </c>
      <c r="E29" s="12"/>
      <c r="F29" s="13" t="str">
        <f>IF(E29="","",(E29-19.1)/1.4)</f>
        <v/>
      </c>
    </row>
    <row r="30" spans="1:6" ht="18" customHeight="1" x14ac:dyDescent="0.25">
      <c r="A30" s="4" t="s">
        <v>26</v>
      </c>
      <c r="B30" s="12"/>
      <c r="C30" s="10" t="str">
        <f>IF(B30="","",(B30-7)/2)</f>
        <v/>
      </c>
      <c r="D30" s="4" t="s">
        <v>58</v>
      </c>
      <c r="E30" s="12"/>
      <c r="F30" s="19" t="str">
        <f>IF(E30="","",-(E30-94.9)/29.1)</f>
        <v/>
      </c>
    </row>
    <row r="31" spans="1:6" ht="18" customHeight="1" x14ac:dyDescent="0.25">
      <c r="A31" s="4" t="s">
        <v>27</v>
      </c>
      <c r="B31" s="12"/>
      <c r="C31" s="10" t="str">
        <f>IF(B31="","",-(B31-159.4)/52.2)</f>
        <v/>
      </c>
      <c r="D31" s="4" t="s">
        <v>59</v>
      </c>
      <c r="E31" s="12"/>
      <c r="F31" s="13" t="str">
        <f>IF(E31="","",(E31-4.3)/1)</f>
        <v/>
      </c>
    </row>
    <row r="32" spans="1:6" ht="18" customHeight="1" x14ac:dyDescent="0.25">
      <c r="B32" s="14"/>
      <c r="C32" s="15"/>
      <c r="D32" s="4" t="s">
        <v>60</v>
      </c>
      <c r="E32" s="12"/>
      <c r="F32" s="19" t="str">
        <f>IF(E32="","",-(E32-98.2)/34.3)</f>
        <v/>
      </c>
    </row>
    <row r="33" spans="1:6" ht="18" customHeight="1" x14ac:dyDescent="0.25">
      <c r="A33" s="4" t="s">
        <v>28</v>
      </c>
      <c r="B33" s="14"/>
      <c r="C33" s="15"/>
      <c r="D33" s="4" t="s">
        <v>61</v>
      </c>
      <c r="E33" s="12"/>
      <c r="F33" s="13" t="str">
        <f>IF(E33="","",(E33-4.2)/1)</f>
        <v/>
      </c>
    </row>
    <row r="34" spans="1:6" ht="18" customHeight="1" x14ac:dyDescent="0.25">
      <c r="A34" s="4" t="s">
        <v>29</v>
      </c>
      <c r="B34" s="12"/>
      <c r="C34" s="10" t="str">
        <f>IF(B34="","",(B34-8.3)/1.9)</f>
        <v/>
      </c>
      <c r="D34" s="4" t="s">
        <v>62</v>
      </c>
      <c r="E34" s="12"/>
      <c r="F34" s="19" t="str">
        <f>IF(E34="","",-(E34-115.3)/28.5)</f>
        <v/>
      </c>
    </row>
    <row r="35" spans="1:6" ht="18" customHeight="1" x14ac:dyDescent="0.25">
      <c r="A35" s="4" t="s">
        <v>30</v>
      </c>
      <c r="B35" s="12"/>
      <c r="C35" s="10" t="str">
        <f>IF(B35="","",(B35-6.6)/2.3)</f>
        <v/>
      </c>
      <c r="D35" s="4" t="s">
        <v>63</v>
      </c>
      <c r="E35" s="12"/>
      <c r="F35" s="13" t="str">
        <f>IF(E35="","",(E35-3.7)/0.8)</f>
        <v/>
      </c>
    </row>
    <row r="36" spans="1:6" ht="18" customHeight="1" x14ac:dyDescent="0.25">
      <c r="A36" s="4" t="s">
        <v>31</v>
      </c>
      <c r="B36" s="12"/>
      <c r="C36" s="10" t="str">
        <f>IF(B36="","",(B36-4)/2.8)</f>
        <v/>
      </c>
      <c r="D36" s="4" t="s">
        <v>64</v>
      </c>
      <c r="E36" s="12"/>
      <c r="F36" s="13" t="str">
        <f>IF(E36="","",(E36-1.3)/0.7)</f>
        <v/>
      </c>
    </row>
    <row r="37" spans="1:6" ht="18" customHeight="1" thickBot="1" x14ac:dyDescent="0.3">
      <c r="A37" s="4" t="s">
        <v>32</v>
      </c>
      <c r="B37" s="14"/>
      <c r="C37" s="24"/>
      <c r="D37" s="16"/>
      <c r="F37" s="11"/>
    </row>
    <row r="38" spans="1:6" ht="18" customHeight="1" thickBot="1" x14ac:dyDescent="0.3">
      <c r="A38" s="4" t="s">
        <v>33</v>
      </c>
      <c r="B38" s="12"/>
      <c r="C38" s="11" t="str">
        <f>IF(B38="","",(B38-7.8)/2)</f>
        <v/>
      </c>
      <c r="D38" s="8" t="s">
        <v>65</v>
      </c>
      <c r="E38" s="9"/>
      <c r="F38" s="11"/>
    </row>
    <row r="39" spans="1:6" ht="18" customHeight="1" x14ac:dyDescent="0.25">
      <c r="A39" s="4" t="s">
        <v>34</v>
      </c>
      <c r="B39" s="12"/>
      <c r="C39" s="10" t="str">
        <f>IF(B39="","",(B39-7.1)/2.4)</f>
        <v/>
      </c>
      <c r="D39" s="4" t="s">
        <v>66</v>
      </c>
      <c r="E39" s="12"/>
      <c r="F39" s="13" t="str">
        <f>IF(E39="","",(E39-4.6)/0.6)</f>
        <v/>
      </c>
    </row>
    <row r="40" spans="1:6" ht="18" customHeight="1" x14ac:dyDescent="0.25">
      <c r="B40" s="12"/>
      <c r="C40" s="10"/>
      <c r="D40" s="4" t="s">
        <v>67</v>
      </c>
      <c r="E40" s="12"/>
      <c r="F40" s="13" t="str">
        <f>IF(E40="","",(E40-3.2)/0.9)</f>
        <v/>
      </c>
    </row>
    <row r="41" spans="1:6" ht="18" customHeight="1" x14ac:dyDescent="0.25">
      <c r="B41" s="12"/>
      <c r="C41" s="10"/>
      <c r="D41" s="4" t="s">
        <v>68</v>
      </c>
      <c r="E41" s="12"/>
      <c r="F41" s="13" t="str">
        <f>IF(E41="","",(E41-3.7)/0.5)</f>
        <v/>
      </c>
    </row>
    <row r="42" spans="1:6" x14ac:dyDescent="0.25">
      <c r="B42" s="17"/>
      <c r="C42" s="11"/>
      <c r="D42" s="7"/>
    </row>
    <row r="43" spans="1:6" x14ac:dyDescent="0.25">
      <c r="C43" s="22"/>
      <c r="D43" s="7"/>
    </row>
    <row r="44" spans="1:6" x14ac:dyDescent="0.25">
      <c r="C44" s="22"/>
      <c r="D44" s="28"/>
      <c r="E44" s="28"/>
      <c r="F44" s="28"/>
    </row>
    <row r="45" spans="1:6" x14ac:dyDescent="0.25">
      <c r="C45" s="22"/>
      <c r="D45" s="7"/>
    </row>
    <row r="46" spans="1:6" x14ac:dyDescent="0.25">
      <c r="C46" s="22"/>
    </row>
  </sheetData>
  <sheetProtection password="86D5" sheet="1" objects="1" scenarios="1"/>
  <mergeCells count="5">
    <mergeCell ref="A2:C2"/>
    <mergeCell ref="D2:F2"/>
    <mergeCell ref="A3:C3"/>
    <mergeCell ref="D3:F3"/>
    <mergeCell ref="D44:F44"/>
  </mergeCells>
  <pageMargins left="0.70866141732283472" right="0.70866141732283472" top="0.74803149606299213" bottom="0.74803149606299213" header="0" footer="0.39370078740157483"/>
  <pageSetup paperSize="9" orientation="portrait" horizontalDpi="300" verticalDpi="300" r:id="rId1"/>
  <headerFooter>
    <oddFooter>&amp;L&amp;10Groupe Cogni-Sciences
Laboratoire de Psychologie et NeuroCognition &amp;R&amp;10Laboratoire des Sciences de l'éducation
UPMF Grenoble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tabSelected="1" view="pageLayout" zoomScaleNormal="100" workbookViewId="0">
      <selection activeCell="B7" sqref="B7"/>
    </sheetView>
  </sheetViews>
  <sheetFormatPr baseColWidth="10" defaultRowHeight="15" x14ac:dyDescent="0.25"/>
  <cols>
    <col min="1" max="1" width="25.7109375" style="4" customWidth="1"/>
    <col min="2" max="2" width="8.7109375" style="2" customWidth="1"/>
    <col min="3" max="3" width="8.7109375" style="21" customWidth="1"/>
    <col min="4" max="4" width="25.7109375" style="4" customWidth="1"/>
    <col min="5" max="5" width="8.7109375" style="2" customWidth="1"/>
    <col min="6" max="6" width="8.7109375" style="21" customWidth="1"/>
  </cols>
  <sheetData>
    <row r="1" spans="1:6" ht="18" customHeight="1" thickBot="1" x14ac:dyDescent="0.3">
      <c r="A1" s="1"/>
      <c r="C1" s="3" t="s">
        <v>0</v>
      </c>
      <c r="F1" s="3" t="s">
        <v>70</v>
      </c>
    </row>
    <row r="2" spans="1:6" ht="18" customHeight="1" x14ac:dyDescent="0.25">
      <c r="A2" s="26" t="s">
        <v>2</v>
      </c>
      <c r="B2" s="26"/>
      <c r="C2" s="26"/>
      <c r="D2" s="27" t="s">
        <v>3</v>
      </c>
      <c r="E2" s="27"/>
      <c r="F2" s="27"/>
    </row>
    <row r="3" spans="1:6" ht="18" customHeight="1" x14ac:dyDescent="0.25">
      <c r="A3" s="26" t="s">
        <v>4</v>
      </c>
      <c r="B3" s="26"/>
      <c r="C3" s="26"/>
      <c r="D3" s="27" t="s">
        <v>5</v>
      </c>
      <c r="E3" s="27"/>
      <c r="F3" s="27"/>
    </row>
    <row r="4" spans="1:6" ht="18" customHeight="1" thickBot="1" x14ac:dyDescent="0.3">
      <c r="B4" s="5" t="s">
        <v>6</v>
      </c>
      <c r="C4" s="6" t="s">
        <v>7</v>
      </c>
      <c r="D4" s="7"/>
      <c r="E4" s="5" t="s">
        <v>6</v>
      </c>
      <c r="F4" s="6" t="s">
        <v>7</v>
      </c>
    </row>
    <row r="5" spans="1:6" ht="18" customHeight="1" thickBot="1" x14ac:dyDescent="0.3">
      <c r="A5" s="8" t="s">
        <v>8</v>
      </c>
      <c r="B5" s="9"/>
      <c r="C5" s="10"/>
      <c r="D5" s="8" t="s">
        <v>35</v>
      </c>
      <c r="E5" s="9"/>
      <c r="F5" s="11"/>
    </row>
    <row r="6" spans="1:6" ht="18" customHeight="1" x14ac:dyDescent="0.25">
      <c r="A6" s="4" t="s">
        <v>9</v>
      </c>
      <c r="B6" s="12"/>
      <c r="C6" s="10" t="str">
        <f>IF(B6="","",(B6-95.5)/25.7)</f>
        <v/>
      </c>
      <c r="D6" s="4" t="s">
        <v>36</v>
      </c>
      <c r="E6" s="12"/>
      <c r="F6" s="13" t="str">
        <f>IF(E6="","",(E6-15.6)/0.9)</f>
        <v/>
      </c>
    </row>
    <row r="7" spans="1:6" ht="18" customHeight="1" x14ac:dyDescent="0.25">
      <c r="A7" s="4" t="s">
        <v>10</v>
      </c>
      <c r="B7" s="12"/>
      <c r="C7" s="10" t="str">
        <f>IF(B7="","",(B7-84.6)/24.2)</f>
        <v/>
      </c>
      <c r="D7" s="4" t="s">
        <v>37</v>
      </c>
      <c r="E7" s="12"/>
      <c r="F7" s="13" t="str">
        <f>IF(E7="","",(E7-15.3)/1.4)</f>
        <v/>
      </c>
    </row>
    <row r="8" spans="1:6" ht="18" customHeight="1" x14ac:dyDescent="0.25">
      <c r="A8" s="4" t="s">
        <v>11</v>
      </c>
      <c r="B8" s="14"/>
      <c r="C8" s="15"/>
      <c r="D8" s="4" t="s">
        <v>38</v>
      </c>
      <c r="E8" s="12"/>
      <c r="F8" s="13" t="str">
        <f>IF(E8="","",(E8-19)/1.5)</f>
        <v/>
      </c>
    </row>
    <row r="9" spans="1:6" ht="18" customHeight="1" x14ac:dyDescent="0.25">
      <c r="A9" s="4" t="s">
        <v>12</v>
      </c>
      <c r="B9" s="12"/>
      <c r="C9" s="10" t="str">
        <f>IF(B9="","",(B9-16.7)/2.6)</f>
        <v/>
      </c>
      <c r="D9" s="4" t="s">
        <v>39</v>
      </c>
      <c r="E9" s="12"/>
      <c r="F9" s="13" t="str">
        <f>IF(E9="","",(E9-8.1)/3.1)</f>
        <v/>
      </c>
    </row>
    <row r="10" spans="1:6" ht="18" customHeight="1" x14ac:dyDescent="0.25">
      <c r="A10" s="4" t="s">
        <v>13</v>
      </c>
      <c r="B10" s="12"/>
      <c r="C10" s="10" t="str">
        <f>IF(B10="","",-(B10-32.6)/13.9)</f>
        <v/>
      </c>
      <c r="D10" s="4" t="s">
        <v>40</v>
      </c>
      <c r="E10" s="12"/>
      <c r="F10" s="13" t="str">
        <f>IF(E10="","",(E10-19.9)/5.3)</f>
        <v/>
      </c>
    </row>
    <row r="11" spans="1:6" ht="18" customHeight="1" x14ac:dyDescent="0.25">
      <c r="A11" s="4" t="s">
        <v>14</v>
      </c>
      <c r="B11" s="12"/>
      <c r="C11" s="10" t="str">
        <f>IF(B11="","",(B11-19.1)/1.4)</f>
        <v/>
      </c>
      <c r="D11" s="4" t="s">
        <v>41</v>
      </c>
      <c r="E11" s="12"/>
      <c r="F11" s="13" t="str">
        <f>IF(E11="","",(E11-25.5)/3)</f>
        <v/>
      </c>
    </row>
    <row r="12" spans="1:6" ht="18" customHeight="1" x14ac:dyDescent="0.25">
      <c r="A12" s="4" t="s">
        <v>15</v>
      </c>
      <c r="B12" s="12"/>
      <c r="C12" s="10" t="str">
        <f>IF(B12="","",-(B12-26.2)/9.8)</f>
        <v/>
      </c>
      <c r="D12" s="4" t="s">
        <v>42</v>
      </c>
      <c r="E12" s="12"/>
      <c r="F12" s="13" t="str">
        <f>IF(E12="","",(E12-16.6)/2.1)</f>
        <v/>
      </c>
    </row>
    <row r="13" spans="1:6" ht="18" customHeight="1" thickBot="1" x14ac:dyDescent="0.3">
      <c r="A13" s="4" t="s">
        <v>16</v>
      </c>
      <c r="B13" s="12"/>
      <c r="C13" s="11" t="str">
        <f>IF(B13="","",(B13-16.9)/2.5)</f>
        <v/>
      </c>
      <c r="D13" s="16"/>
      <c r="E13" s="17"/>
      <c r="F13" s="11"/>
    </row>
    <row r="14" spans="1:6" ht="18" customHeight="1" thickBot="1" x14ac:dyDescent="0.3">
      <c r="A14" s="4" t="s">
        <v>17</v>
      </c>
      <c r="B14" s="12"/>
      <c r="C14" s="10" t="str">
        <f>IF(B14="","",-(B14-37.7)/14.4)</f>
        <v/>
      </c>
      <c r="D14" s="8" t="s">
        <v>43</v>
      </c>
      <c r="E14" s="9"/>
      <c r="F14" s="11"/>
    </row>
    <row r="15" spans="1:6" ht="18" customHeight="1" x14ac:dyDescent="0.25">
      <c r="A15" s="4" t="s">
        <v>18</v>
      </c>
      <c r="B15" s="17"/>
      <c r="C15" s="10"/>
      <c r="D15" s="4" t="s">
        <v>44</v>
      </c>
      <c r="E15" s="12"/>
      <c r="F15" s="13" t="str">
        <f>IF(E15="","",(E15-13.5)/1.1)</f>
        <v/>
      </c>
    </row>
    <row r="16" spans="1:6" ht="18" customHeight="1" x14ac:dyDescent="0.25">
      <c r="A16" s="4" t="s">
        <v>12</v>
      </c>
      <c r="B16" s="12"/>
      <c r="C16" s="10" t="str">
        <f>IF(B16="","",(B16-10.5)/3.9)</f>
        <v/>
      </c>
      <c r="D16" s="4" t="s">
        <v>45</v>
      </c>
      <c r="E16" s="12"/>
      <c r="F16" s="13" t="str">
        <f>IF(E16="","",-(E16-23.6)/4.4)</f>
        <v/>
      </c>
    </row>
    <row r="17" spans="1:6" ht="18" customHeight="1" x14ac:dyDescent="0.25">
      <c r="A17" s="4" t="s">
        <v>13</v>
      </c>
      <c r="B17" s="12"/>
      <c r="C17" s="10" t="str">
        <f>IF(B17="","",-(B17-48.4)/21.8)</f>
        <v/>
      </c>
      <c r="D17" s="4" t="s">
        <v>46</v>
      </c>
      <c r="E17" s="12"/>
      <c r="F17" s="13" t="str">
        <f>IF(E17="","",-(E17-17.3)/4.2)</f>
        <v/>
      </c>
    </row>
    <row r="18" spans="1:6" ht="18" customHeight="1" x14ac:dyDescent="0.25">
      <c r="A18" s="4" t="s">
        <v>14</v>
      </c>
      <c r="B18" s="12"/>
      <c r="C18" s="10" t="str">
        <f>IF(B18="","",(B18-18)/2.4)</f>
        <v/>
      </c>
      <c r="D18" s="4" t="s">
        <v>47</v>
      </c>
      <c r="E18" s="12"/>
      <c r="F18" s="13" t="str">
        <f>IF(E18="","",(E18-14.7)/1.4)</f>
        <v/>
      </c>
    </row>
    <row r="19" spans="1:6" ht="18" customHeight="1" x14ac:dyDescent="0.25">
      <c r="A19" s="4" t="s">
        <v>15</v>
      </c>
      <c r="B19" s="12"/>
      <c r="C19" s="10" t="str">
        <f>IF(B19="","",-(B19-37.4)/14.7)</f>
        <v/>
      </c>
      <c r="D19" s="4" t="s">
        <v>48</v>
      </c>
      <c r="E19" s="12"/>
      <c r="F19" s="13" t="str">
        <f>IF(E19="","",(E19-10.9)/1.3)</f>
        <v/>
      </c>
    </row>
    <row r="20" spans="1:6" ht="18" customHeight="1" x14ac:dyDescent="0.25">
      <c r="A20" s="4" t="s">
        <v>16</v>
      </c>
      <c r="B20" s="12"/>
      <c r="C20" s="10" t="str">
        <f>IF(B20="","",(B20-16.1)/3.2)</f>
        <v/>
      </c>
      <c r="D20" s="4" t="s">
        <v>49</v>
      </c>
      <c r="E20" s="12"/>
      <c r="F20" s="13" t="str">
        <f>IF(E20="","",(E20-8.3)/2.4)</f>
        <v/>
      </c>
    </row>
    <row r="21" spans="1:6" ht="18" customHeight="1" x14ac:dyDescent="0.25">
      <c r="A21" s="4" t="s">
        <v>17</v>
      </c>
      <c r="B21" s="12"/>
      <c r="C21" s="10" t="str">
        <f>IF(B21="","",-(B21-44.7)/16.4)</f>
        <v/>
      </c>
      <c r="D21" s="4" t="s">
        <v>50</v>
      </c>
      <c r="E21" s="12"/>
      <c r="F21" s="13" t="str">
        <f>IF(E21="","",(E21-8.3)/2)</f>
        <v/>
      </c>
    </row>
    <row r="22" spans="1:6" ht="18" customHeight="1" x14ac:dyDescent="0.25">
      <c r="B22" s="17"/>
      <c r="C22" s="10"/>
      <c r="D22" s="4" t="s">
        <v>51</v>
      </c>
      <c r="E22" s="12"/>
      <c r="F22" s="13" t="str">
        <f>IF(E22="","",(E22-6.4)/1.5)</f>
        <v/>
      </c>
    </row>
    <row r="23" spans="1:6" ht="18" customHeight="1" x14ac:dyDescent="0.25">
      <c r="A23" s="4" t="s">
        <v>19</v>
      </c>
      <c r="B23" s="12"/>
      <c r="C23" s="10" t="str">
        <f>IF(B23="","",(B23-10.8)/2.6)</f>
        <v/>
      </c>
      <c r="D23" s="4" t="s">
        <v>52</v>
      </c>
      <c r="E23" s="12"/>
      <c r="F23" s="13" t="str">
        <f>IF(E23="","",(E23-7.9)/2.6)</f>
        <v/>
      </c>
    </row>
    <row r="24" spans="1:6" ht="18" customHeight="1" x14ac:dyDescent="0.25">
      <c r="A24" s="4" t="s">
        <v>20</v>
      </c>
      <c r="B24" s="12"/>
      <c r="C24" s="10" t="str">
        <f>IF(B24="","",-(B24-147.6)/45.7)</f>
        <v/>
      </c>
      <c r="D24" s="4" t="s">
        <v>53</v>
      </c>
      <c r="E24" s="12"/>
      <c r="F24" s="13" t="str">
        <f>IF(E24="","",(E24-8.6)/1.6)</f>
        <v/>
      </c>
    </row>
    <row r="25" spans="1:6" ht="18" customHeight="1" x14ac:dyDescent="0.25">
      <c r="A25" s="4" t="s">
        <v>21</v>
      </c>
      <c r="B25" s="12"/>
      <c r="C25" s="10" t="str">
        <f>IF(B25="","",(B25-42.2)/3.2)</f>
        <v/>
      </c>
      <c r="D25" s="4" t="s">
        <v>54</v>
      </c>
      <c r="E25" s="12"/>
      <c r="F25" s="13" t="str">
        <f>IF(E25="","",(E25-4.5)/0.9)</f>
        <v/>
      </c>
    </row>
    <row r="26" spans="1:6" ht="18" customHeight="1" thickBot="1" x14ac:dyDescent="0.3">
      <c r="A26" s="4" t="s">
        <v>22</v>
      </c>
      <c r="B26" s="12"/>
      <c r="C26" s="23" t="str">
        <f>IF(B26="","",(B26-49.4)/1.3)</f>
        <v/>
      </c>
      <c r="D26" s="16"/>
      <c r="E26" s="17"/>
      <c r="F26" s="11"/>
    </row>
    <row r="27" spans="1:6" ht="18" customHeight="1" thickBot="1" x14ac:dyDescent="0.3">
      <c r="A27" s="4" t="s">
        <v>23</v>
      </c>
      <c r="B27" s="12"/>
      <c r="C27" s="11" t="str">
        <f>IF(B27="","",-(B27-43.3)/10.5)</f>
        <v/>
      </c>
      <c r="D27" s="8" t="s">
        <v>55</v>
      </c>
      <c r="E27" s="9"/>
      <c r="F27" s="11"/>
    </row>
    <row r="28" spans="1:6" ht="18" customHeight="1" x14ac:dyDescent="0.25">
      <c r="A28" s="4" t="s">
        <v>24</v>
      </c>
      <c r="B28" s="12"/>
      <c r="C28" s="10" t="str">
        <f>IF(B28="","",(B28-49.9)/0.3)</f>
        <v/>
      </c>
      <c r="D28" s="4" t="s">
        <v>56</v>
      </c>
      <c r="E28" s="12"/>
      <c r="F28" s="13" t="str">
        <f>IF(E28="","",(E28-27.2)/4)</f>
        <v/>
      </c>
    </row>
    <row r="29" spans="1:6" ht="18" customHeight="1" x14ac:dyDescent="0.25">
      <c r="A29" s="4" t="s">
        <v>25</v>
      </c>
      <c r="B29" s="12"/>
      <c r="C29" s="10" t="str">
        <f>IF(B29="","",-(B29-33.8)/6.1)</f>
        <v/>
      </c>
      <c r="D29" s="4" t="s">
        <v>57</v>
      </c>
      <c r="E29" s="12"/>
      <c r="F29" s="13" t="str">
        <f>IF(E29="","",(E29-19.2)/1.1)</f>
        <v/>
      </c>
    </row>
    <row r="30" spans="1:6" ht="18" customHeight="1" x14ac:dyDescent="0.25">
      <c r="A30" s="4" t="s">
        <v>26</v>
      </c>
      <c r="B30" s="12"/>
      <c r="C30" s="10" t="str">
        <f>IF(B30="","",(B30-7.8)/1.7)</f>
        <v/>
      </c>
      <c r="D30" s="4" t="s">
        <v>58</v>
      </c>
      <c r="E30" s="12"/>
      <c r="F30" s="19" t="str">
        <f>IF(E30="","",-(E30-75.2)/17.6)</f>
        <v/>
      </c>
    </row>
    <row r="31" spans="1:6" ht="18" customHeight="1" x14ac:dyDescent="0.25">
      <c r="A31" s="4" t="s">
        <v>27</v>
      </c>
      <c r="B31" s="12"/>
      <c r="C31" s="10" t="str">
        <f>IF(B31="","",-(B31-140.1)/35.8)</f>
        <v/>
      </c>
      <c r="D31" s="4" t="s">
        <v>59</v>
      </c>
      <c r="E31" s="12"/>
      <c r="F31" s="13" t="str">
        <f>IF(E31="","",(E31-4.6)/0.7)</f>
        <v/>
      </c>
    </row>
    <row r="32" spans="1:6" ht="18" customHeight="1" x14ac:dyDescent="0.25">
      <c r="B32" s="14"/>
      <c r="C32" s="15"/>
      <c r="D32" s="4" t="s">
        <v>60</v>
      </c>
      <c r="E32" s="12"/>
      <c r="F32" s="19" t="str">
        <f>IF(E32="","",-(E32-95.6)/35.2)</f>
        <v/>
      </c>
    </row>
    <row r="33" spans="1:6" ht="18" customHeight="1" x14ac:dyDescent="0.25">
      <c r="A33" s="4" t="s">
        <v>28</v>
      </c>
      <c r="B33" s="14"/>
      <c r="C33" s="15"/>
      <c r="D33" s="4" t="s">
        <v>61</v>
      </c>
      <c r="E33" s="12"/>
      <c r="F33" s="13" t="str">
        <f>IF(E33="","",(E33-4.5)/0.9)</f>
        <v/>
      </c>
    </row>
    <row r="34" spans="1:6" ht="18" customHeight="1" x14ac:dyDescent="0.25">
      <c r="A34" s="4" t="s">
        <v>29</v>
      </c>
      <c r="B34" s="12"/>
      <c r="C34" s="10" t="str">
        <f>IF(B34="","",(B34-8.7)/1.5)</f>
        <v/>
      </c>
      <c r="D34" s="4" t="s">
        <v>62</v>
      </c>
      <c r="E34" s="12"/>
      <c r="F34" s="19" t="str">
        <f>IF(E34="","",-(E34-110.4)/40.6)</f>
        <v/>
      </c>
    </row>
    <row r="35" spans="1:6" ht="18" customHeight="1" x14ac:dyDescent="0.25">
      <c r="A35" s="4" t="s">
        <v>30</v>
      </c>
      <c r="B35" s="12"/>
      <c r="C35" s="10" t="str">
        <f>IF(B35="","",(B35-8.1)/1.7)</f>
        <v/>
      </c>
      <c r="D35" s="4" t="s">
        <v>63</v>
      </c>
      <c r="E35" s="12"/>
      <c r="F35" s="13" t="str">
        <f>IF(E35="","",(E35-3.8)/0.6)</f>
        <v/>
      </c>
    </row>
    <row r="36" spans="1:6" ht="18" customHeight="1" x14ac:dyDescent="0.25">
      <c r="A36" s="4" t="s">
        <v>31</v>
      </c>
      <c r="B36" s="12"/>
      <c r="C36" s="10" t="str">
        <f>IF(B36="","",(B36-6.1)/2.3)</f>
        <v/>
      </c>
      <c r="D36" s="4" t="s">
        <v>64</v>
      </c>
      <c r="E36" s="12"/>
      <c r="F36" s="13" t="str">
        <f>IF(E36="","",(E36-1.6)/0.7)</f>
        <v/>
      </c>
    </row>
    <row r="37" spans="1:6" ht="18" customHeight="1" thickBot="1" x14ac:dyDescent="0.3">
      <c r="A37" s="4" t="s">
        <v>32</v>
      </c>
      <c r="B37" s="14"/>
      <c r="C37" s="24"/>
      <c r="D37" s="16"/>
      <c r="F37" s="11"/>
    </row>
    <row r="38" spans="1:6" ht="18" customHeight="1" thickBot="1" x14ac:dyDescent="0.3">
      <c r="A38" s="4" t="s">
        <v>33</v>
      </c>
      <c r="B38" s="12"/>
      <c r="C38" s="11" t="str">
        <f>IF(B38="","",(B38-8.2)/1.5)</f>
        <v/>
      </c>
      <c r="D38" s="8" t="s">
        <v>65</v>
      </c>
      <c r="E38" s="9"/>
      <c r="F38" s="11"/>
    </row>
    <row r="39" spans="1:6" ht="18" customHeight="1" x14ac:dyDescent="0.25">
      <c r="A39" s="4" t="s">
        <v>34</v>
      </c>
      <c r="B39" s="12"/>
      <c r="C39" s="10" t="str">
        <f>IF(B39="","",(B39-8.1)/2)</f>
        <v/>
      </c>
      <c r="D39" s="4" t="s">
        <v>66</v>
      </c>
      <c r="E39" s="12"/>
      <c r="F39" s="13" t="str">
        <f>IF(E39="","",(E39-4.4)/0.8)</f>
        <v/>
      </c>
    </row>
    <row r="40" spans="1:6" ht="18" customHeight="1" x14ac:dyDescent="0.25">
      <c r="B40" s="12"/>
      <c r="C40" s="10"/>
      <c r="D40" s="4" t="s">
        <v>67</v>
      </c>
      <c r="E40" s="12"/>
      <c r="F40" s="13" t="str">
        <f>IF(E40="","",(E40-3.7)/0.9)</f>
        <v/>
      </c>
    </row>
    <row r="41" spans="1:6" ht="18" customHeight="1" x14ac:dyDescent="0.25">
      <c r="B41" s="12"/>
      <c r="C41" s="10"/>
      <c r="D41" s="4" t="s">
        <v>68</v>
      </c>
      <c r="E41" s="12"/>
      <c r="F41" s="13" t="str">
        <f>IF(E41="","",(E41-3.9)/0.4)</f>
        <v/>
      </c>
    </row>
    <row r="42" spans="1:6" x14ac:dyDescent="0.25">
      <c r="B42" s="17"/>
      <c r="C42" s="11"/>
      <c r="D42" s="7"/>
    </row>
    <row r="43" spans="1:6" x14ac:dyDescent="0.25">
      <c r="C43" s="22"/>
      <c r="D43" s="7"/>
    </row>
    <row r="44" spans="1:6" x14ac:dyDescent="0.25">
      <c r="C44" s="22"/>
      <c r="D44" s="28"/>
      <c r="E44" s="28"/>
      <c r="F44" s="28"/>
    </row>
    <row r="45" spans="1:6" x14ac:dyDescent="0.25">
      <c r="C45" s="22"/>
      <c r="D45" s="7"/>
    </row>
    <row r="46" spans="1:6" x14ac:dyDescent="0.25">
      <c r="C46" s="22"/>
    </row>
  </sheetData>
  <sheetProtection password="86D5" sheet="1" objects="1" scenarios="1"/>
  <mergeCells count="5">
    <mergeCell ref="A2:C2"/>
    <mergeCell ref="D2:F2"/>
    <mergeCell ref="A3:C3"/>
    <mergeCell ref="D3:F3"/>
    <mergeCell ref="D44:F44"/>
  </mergeCells>
  <pageMargins left="0.7" right="0.7" top="0.59375" bottom="0.75" header="0.3" footer="0.39583333333333331"/>
  <pageSetup paperSize="9" orientation="portrait" horizontalDpi="300" verticalDpi="300" r:id="rId1"/>
  <headerFooter>
    <oddFooter>&amp;L&amp;10Groupe Cogni-Sciences
Laboratoire de Psychologie et NeuroCognition &amp;R&amp;10Laboratoire des Sciences de l'éducation
UPMF Grenoble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view="pageLayout" topLeftCell="A34" zoomScaleNormal="100" workbookViewId="0">
      <selection sqref="A1:XFD1"/>
    </sheetView>
  </sheetViews>
  <sheetFormatPr baseColWidth="10" defaultRowHeight="15" x14ac:dyDescent="0.25"/>
  <cols>
    <col min="1" max="1" width="25.7109375" style="4" customWidth="1"/>
    <col min="2" max="2" width="8.7109375" style="2" customWidth="1"/>
    <col min="3" max="3" width="8.7109375" style="21" customWidth="1"/>
    <col min="4" max="4" width="25.7109375" style="4" customWidth="1"/>
    <col min="5" max="5" width="8.7109375" style="2" customWidth="1"/>
    <col min="6" max="6" width="8.7109375" style="21" customWidth="1"/>
  </cols>
  <sheetData>
    <row r="1" spans="1:6" ht="18" customHeight="1" thickBot="1" x14ac:dyDescent="0.3">
      <c r="A1" s="1"/>
      <c r="C1" s="3" t="s">
        <v>0</v>
      </c>
      <c r="F1" s="3" t="s">
        <v>1</v>
      </c>
    </row>
    <row r="2" spans="1:6" ht="18" customHeight="1" x14ac:dyDescent="0.25">
      <c r="A2" s="26" t="s">
        <v>2</v>
      </c>
      <c r="B2" s="26"/>
      <c r="C2" s="26"/>
      <c r="D2" s="27" t="s">
        <v>3</v>
      </c>
      <c r="E2" s="27"/>
      <c r="F2" s="27"/>
    </row>
    <row r="3" spans="1:6" ht="18" customHeight="1" x14ac:dyDescent="0.25">
      <c r="A3" s="26" t="s">
        <v>4</v>
      </c>
      <c r="B3" s="26"/>
      <c r="C3" s="26"/>
      <c r="D3" s="27" t="s">
        <v>5</v>
      </c>
      <c r="E3" s="27"/>
      <c r="F3" s="27"/>
    </row>
    <row r="4" spans="1:6" ht="18" customHeight="1" thickBot="1" x14ac:dyDescent="0.3">
      <c r="B4" s="5" t="s">
        <v>6</v>
      </c>
      <c r="C4" s="6" t="s">
        <v>7</v>
      </c>
      <c r="D4" s="7"/>
      <c r="E4" s="5" t="s">
        <v>6</v>
      </c>
      <c r="F4" s="6" t="s">
        <v>7</v>
      </c>
    </row>
    <row r="5" spans="1:6" ht="18" customHeight="1" thickBot="1" x14ac:dyDescent="0.3">
      <c r="A5" s="8" t="s">
        <v>8</v>
      </c>
      <c r="B5" s="9"/>
      <c r="C5" s="10"/>
      <c r="D5" s="8" t="s">
        <v>35</v>
      </c>
      <c r="E5" s="9"/>
      <c r="F5" s="11"/>
    </row>
    <row r="6" spans="1:6" ht="18" customHeight="1" x14ac:dyDescent="0.25">
      <c r="A6" s="4" t="s">
        <v>9</v>
      </c>
      <c r="B6" s="12"/>
      <c r="C6" s="10" t="str">
        <f>IF(B6="","",(B6-115.8)/32.6)</f>
        <v/>
      </c>
      <c r="D6" s="4" t="s">
        <v>36</v>
      </c>
      <c r="E6" s="12"/>
      <c r="F6" s="13" t="str">
        <f>IF(E6="","",(E6-15.9)/0.3)</f>
        <v/>
      </c>
    </row>
    <row r="7" spans="1:6" ht="18" customHeight="1" x14ac:dyDescent="0.25">
      <c r="A7" s="4" t="s">
        <v>10</v>
      </c>
      <c r="B7" s="12"/>
      <c r="C7" s="10" t="str">
        <f>IF(B7="","",(B7-102.9)/29.8)</f>
        <v/>
      </c>
      <c r="D7" s="4" t="s">
        <v>37</v>
      </c>
      <c r="E7" s="12"/>
      <c r="F7" s="13" t="str">
        <f>IF(E7="","",(E7-15.5)/0.9)</f>
        <v/>
      </c>
    </row>
    <row r="8" spans="1:6" ht="18" customHeight="1" x14ac:dyDescent="0.25">
      <c r="A8" s="4" t="s">
        <v>11</v>
      </c>
      <c r="B8" s="14"/>
      <c r="C8" s="15"/>
      <c r="D8" s="4" t="s">
        <v>38</v>
      </c>
      <c r="E8" s="12"/>
      <c r="F8" s="13" t="str">
        <f>IF(E8="","",(E8-19)/1.2)</f>
        <v/>
      </c>
    </row>
    <row r="9" spans="1:6" ht="18" customHeight="1" x14ac:dyDescent="0.25">
      <c r="A9" s="4" t="s">
        <v>12</v>
      </c>
      <c r="B9" s="12"/>
      <c r="C9" s="10" t="str">
        <f>IF(B9="","",(B9-18.3)/1.5)</f>
        <v/>
      </c>
      <c r="D9" s="4" t="s">
        <v>39</v>
      </c>
      <c r="E9" s="12"/>
      <c r="F9" s="13" t="str">
        <f>IF(E9="","",(E9-9.6)/3)</f>
        <v/>
      </c>
    </row>
    <row r="10" spans="1:6" ht="18" customHeight="1" x14ac:dyDescent="0.25">
      <c r="A10" s="4" t="s">
        <v>13</v>
      </c>
      <c r="B10" s="12"/>
      <c r="C10" s="10" t="str">
        <f>IF(B10="","",-(B10-20.3)/6.5)</f>
        <v/>
      </c>
      <c r="D10" s="4" t="s">
        <v>40</v>
      </c>
      <c r="E10" s="12"/>
      <c r="F10" s="13" t="str">
        <f>IF(E10="","",(E10-20.3)/4.8)</f>
        <v/>
      </c>
    </row>
    <row r="11" spans="1:6" ht="18" customHeight="1" x14ac:dyDescent="0.25">
      <c r="A11" s="4" t="s">
        <v>14</v>
      </c>
      <c r="B11" s="12"/>
      <c r="C11" s="10" t="str">
        <f>IF(B11="","",(B11-19.7)/0.7)</f>
        <v/>
      </c>
      <c r="D11" s="4" t="s">
        <v>41</v>
      </c>
      <c r="E11" s="12"/>
      <c r="F11" s="13" t="str">
        <f>IF(E11="","",(E11-27.2)/2.2)</f>
        <v/>
      </c>
    </row>
    <row r="12" spans="1:6" ht="18" customHeight="1" x14ac:dyDescent="0.25">
      <c r="A12" s="4" t="s">
        <v>15</v>
      </c>
      <c r="B12" s="12"/>
      <c r="C12" s="10" t="str">
        <f>IF(B12="","",-(B12-18.7)/5.7)</f>
        <v/>
      </c>
      <c r="D12" s="4" t="s">
        <v>42</v>
      </c>
      <c r="E12" s="12"/>
      <c r="F12" s="13" t="str">
        <f>IF(E12="","",(E12-16.9)/2.1)</f>
        <v/>
      </c>
    </row>
    <row r="13" spans="1:6" ht="18" customHeight="1" thickBot="1" x14ac:dyDescent="0.3">
      <c r="A13" s="4" t="s">
        <v>16</v>
      </c>
      <c r="B13" s="12"/>
      <c r="C13" s="11" t="str">
        <f>IF(B13="","",(B13-17.3)/2.1)</f>
        <v/>
      </c>
      <c r="D13" s="16"/>
      <c r="E13" s="17"/>
      <c r="F13" s="11"/>
    </row>
    <row r="14" spans="1:6" ht="18" customHeight="1" thickBot="1" x14ac:dyDescent="0.3">
      <c r="A14" s="4" t="s">
        <v>17</v>
      </c>
      <c r="B14" s="12"/>
      <c r="C14" s="10" t="str">
        <f>IF(B14="","",-(B14-27.4)/8.9)</f>
        <v/>
      </c>
      <c r="D14" s="8" t="s">
        <v>43</v>
      </c>
      <c r="E14" s="9"/>
      <c r="F14" s="11"/>
    </row>
    <row r="15" spans="1:6" ht="18" customHeight="1" x14ac:dyDescent="0.25">
      <c r="A15" s="4" t="s">
        <v>18</v>
      </c>
      <c r="B15" s="17"/>
      <c r="C15" s="10"/>
      <c r="D15" s="4" t="s">
        <v>44</v>
      </c>
      <c r="E15" s="12"/>
      <c r="F15" s="13" t="str">
        <f>IF(E15="","",(E15-13.7)/0.7)</f>
        <v/>
      </c>
    </row>
    <row r="16" spans="1:6" ht="18" customHeight="1" x14ac:dyDescent="0.25">
      <c r="A16" s="4" t="s">
        <v>12</v>
      </c>
      <c r="B16" s="12"/>
      <c r="C16" s="10" t="str">
        <f>IF(B16="","",(B16-13.2)/3.9)</f>
        <v/>
      </c>
      <c r="D16" s="4" t="s">
        <v>45</v>
      </c>
      <c r="E16" s="12"/>
      <c r="F16" s="13" t="str">
        <f>IF(E16="","",-(E16-22.3)/5)</f>
        <v/>
      </c>
    </row>
    <row r="17" spans="1:6" ht="18" customHeight="1" x14ac:dyDescent="0.25">
      <c r="A17" s="4" t="s">
        <v>13</v>
      </c>
      <c r="B17" s="12"/>
      <c r="C17" s="10" t="str">
        <f>IF(B17="","",-(B17-30.2)/10.4)</f>
        <v/>
      </c>
      <c r="D17" s="4" t="s">
        <v>46</v>
      </c>
      <c r="E17" s="12"/>
      <c r="F17" s="13" t="str">
        <f>IF(E17="","",-(E17-14.2)/3.4)</f>
        <v/>
      </c>
    </row>
    <row r="18" spans="1:6" ht="18" customHeight="1" x14ac:dyDescent="0.25">
      <c r="A18" s="4" t="s">
        <v>14</v>
      </c>
      <c r="B18" s="12"/>
      <c r="C18" s="10" t="str">
        <f>IF(B18="","",(B18-18.4)/2)</f>
        <v/>
      </c>
      <c r="D18" s="4" t="s">
        <v>47</v>
      </c>
      <c r="E18" s="12"/>
      <c r="F18" s="13" t="str">
        <f>IF(E18="","",(E18-14.5)/1.4)</f>
        <v/>
      </c>
    </row>
    <row r="19" spans="1:6" ht="18" customHeight="1" x14ac:dyDescent="0.25">
      <c r="A19" s="4" t="s">
        <v>15</v>
      </c>
      <c r="B19" s="12"/>
      <c r="C19" s="10" t="str">
        <f>IF(B19="","",-(B19-26.5)/8.1)</f>
        <v/>
      </c>
      <c r="D19" s="4" t="s">
        <v>48</v>
      </c>
      <c r="E19" s="12"/>
      <c r="F19" s="13" t="str">
        <f>IF(E19="","",(E19-10.9)/1.8)</f>
        <v/>
      </c>
    </row>
    <row r="20" spans="1:6" ht="18" customHeight="1" x14ac:dyDescent="0.25">
      <c r="A20" s="4" t="s">
        <v>16</v>
      </c>
      <c r="B20" s="12"/>
      <c r="C20" s="10" t="str">
        <f>IF(B20="","",(B20-16.6)/2.4)</f>
        <v/>
      </c>
      <c r="D20" s="4" t="s">
        <v>49</v>
      </c>
      <c r="E20" s="12"/>
      <c r="F20" s="13" t="str">
        <f>IF(E20="","",(E20-7.9)/2.4)</f>
        <v/>
      </c>
    </row>
    <row r="21" spans="1:6" ht="18" customHeight="1" x14ac:dyDescent="0.25">
      <c r="A21" s="4" t="s">
        <v>17</v>
      </c>
      <c r="B21" s="12"/>
      <c r="C21" s="10" t="str">
        <f>IF(B21="","",-(B21-33.2)/9.5)</f>
        <v/>
      </c>
      <c r="D21" s="4" t="s">
        <v>50</v>
      </c>
      <c r="E21" s="12"/>
      <c r="F21" s="13" t="str">
        <f>IF(E21="","",(E21-8.4)/1.8)</f>
        <v/>
      </c>
    </row>
    <row r="22" spans="1:6" ht="18" customHeight="1" x14ac:dyDescent="0.25">
      <c r="B22" s="17"/>
      <c r="C22" s="10"/>
      <c r="D22" s="4" t="s">
        <v>51</v>
      </c>
      <c r="E22" s="12"/>
      <c r="F22" s="13" t="str">
        <f>IF(E22="","",(E22-5.5)/1.9)</f>
        <v/>
      </c>
    </row>
    <row r="23" spans="1:6" ht="18" customHeight="1" x14ac:dyDescent="0.25">
      <c r="A23" s="4" t="s">
        <v>19</v>
      </c>
      <c r="B23" s="12"/>
      <c r="C23" s="10" t="str">
        <f>IF(B23="","",(B23-11.8)/2.3)</f>
        <v/>
      </c>
      <c r="D23" s="4" t="s">
        <v>52</v>
      </c>
      <c r="E23" s="12"/>
      <c r="F23" s="13" t="str">
        <f>IF(E23="","",(E23-7.8)/2.6)</f>
        <v/>
      </c>
    </row>
    <row r="24" spans="1:6" ht="18" customHeight="1" x14ac:dyDescent="0.25">
      <c r="A24" s="4" t="s">
        <v>20</v>
      </c>
      <c r="B24" s="12"/>
      <c r="C24" s="10" t="str">
        <f>IF(B24="","",-(B24-109.4)/28.5)</f>
        <v/>
      </c>
      <c r="D24" s="4" t="s">
        <v>53</v>
      </c>
      <c r="E24" s="12"/>
      <c r="F24" s="13" t="str">
        <f>IF(E24="","",(E24-7.3)/2.8)</f>
        <v/>
      </c>
    </row>
    <row r="25" spans="1:6" ht="18" customHeight="1" x14ac:dyDescent="0.25">
      <c r="A25" s="4" t="s">
        <v>21</v>
      </c>
      <c r="B25" s="12"/>
      <c r="C25" s="10" t="str">
        <f>IF(B25="","",(B25-42.6)/2.9)</f>
        <v/>
      </c>
      <c r="D25" s="4" t="s">
        <v>54</v>
      </c>
      <c r="E25" s="12"/>
      <c r="F25" s="13" t="str">
        <f>IF(E25="","",(E25-4.6)/0.7)</f>
        <v/>
      </c>
    </row>
    <row r="26" spans="1:6" ht="18" customHeight="1" thickBot="1" x14ac:dyDescent="0.3">
      <c r="A26" s="4" t="s">
        <v>22</v>
      </c>
      <c r="B26" s="12"/>
      <c r="C26" s="23" t="str">
        <f>IF(B26="","",(B26-49)/1.4)</f>
        <v/>
      </c>
      <c r="D26" s="16"/>
      <c r="E26" s="17"/>
      <c r="F26" s="11"/>
    </row>
    <row r="27" spans="1:6" ht="18" customHeight="1" thickBot="1" x14ac:dyDescent="0.3">
      <c r="A27" s="4" t="s">
        <v>23</v>
      </c>
      <c r="B27" s="12"/>
      <c r="C27" s="11" t="str">
        <f>IF(B27="","",-(B27-35.7)/10.4)</f>
        <v/>
      </c>
      <c r="D27" s="8" t="s">
        <v>55</v>
      </c>
      <c r="E27" s="9"/>
      <c r="F27" s="11"/>
    </row>
    <row r="28" spans="1:6" ht="18" customHeight="1" x14ac:dyDescent="0.25">
      <c r="A28" s="4" t="s">
        <v>24</v>
      </c>
      <c r="B28" s="12"/>
      <c r="C28" s="10" t="str">
        <f>IF(B28="","",(B28-50)/0.2)</f>
        <v/>
      </c>
      <c r="D28" s="4" t="s">
        <v>56</v>
      </c>
      <c r="E28" s="12"/>
      <c r="F28" s="13" t="str">
        <f>IF(E28="","",(E28-29.8)/3.8)</f>
        <v/>
      </c>
    </row>
    <row r="29" spans="1:6" ht="18" customHeight="1" x14ac:dyDescent="0.25">
      <c r="A29" s="4" t="s">
        <v>25</v>
      </c>
      <c r="B29" s="12"/>
      <c r="C29" s="10" t="str">
        <f>IF(B29="","",-(B29-28.7)/5.4)</f>
        <v/>
      </c>
      <c r="D29" s="4" t="s">
        <v>57</v>
      </c>
      <c r="E29" s="12"/>
      <c r="F29" s="13" t="str">
        <f>IF(E29="","",(E29-19.5)/0.9)</f>
        <v/>
      </c>
    </row>
    <row r="30" spans="1:6" ht="18" customHeight="1" x14ac:dyDescent="0.25">
      <c r="A30" s="4" t="s">
        <v>26</v>
      </c>
      <c r="B30" s="12"/>
      <c r="C30" s="10" t="str">
        <f>IF(B30="","",(B30-7.9)/1.2)</f>
        <v/>
      </c>
      <c r="D30" s="4" t="s">
        <v>58</v>
      </c>
      <c r="E30" s="12"/>
      <c r="F30" s="19" t="str">
        <f>IF(E30="","",-(E30-65.6)/16)</f>
        <v/>
      </c>
    </row>
    <row r="31" spans="1:6" ht="18" customHeight="1" x14ac:dyDescent="0.25">
      <c r="A31" s="4" t="s">
        <v>27</v>
      </c>
      <c r="B31" s="12"/>
      <c r="C31" s="10" t="str">
        <f>IF(B31="","",-(B31-115.4)/29.6)</f>
        <v/>
      </c>
      <c r="D31" s="4" t="s">
        <v>59</v>
      </c>
      <c r="E31" s="12"/>
      <c r="F31" s="13" t="str">
        <f>IF(E31="","",(E31-4.6)/0.7)</f>
        <v/>
      </c>
    </row>
    <row r="32" spans="1:6" ht="18" customHeight="1" x14ac:dyDescent="0.25">
      <c r="B32" s="14"/>
      <c r="C32" s="15"/>
      <c r="D32" s="4" t="s">
        <v>60</v>
      </c>
      <c r="E32" s="12"/>
      <c r="F32" s="19" t="str">
        <f>IF(E32="","",-(E32-74.2)/32.3)</f>
        <v/>
      </c>
    </row>
    <row r="33" spans="1:6" ht="18" customHeight="1" x14ac:dyDescent="0.25">
      <c r="A33" s="4" t="s">
        <v>28</v>
      </c>
      <c r="B33" s="14"/>
      <c r="C33" s="15"/>
      <c r="D33" s="4" t="s">
        <v>61</v>
      </c>
      <c r="E33" s="12"/>
      <c r="F33" s="13" t="str">
        <f>IF(E33="","",(E33-4.5)/1)</f>
        <v/>
      </c>
    </row>
    <row r="34" spans="1:6" ht="18" customHeight="1" x14ac:dyDescent="0.25">
      <c r="A34" s="4" t="s">
        <v>29</v>
      </c>
      <c r="B34" s="12"/>
      <c r="C34" s="10" t="str">
        <f>IF(B34="","",(B34-9.4)/0.9)</f>
        <v/>
      </c>
      <c r="D34" s="4" t="s">
        <v>62</v>
      </c>
      <c r="E34" s="12"/>
      <c r="F34" s="19" t="str">
        <f>IF(E34="","",-(E34-99.5)/30.4)</f>
        <v/>
      </c>
    </row>
    <row r="35" spans="1:6" ht="18" customHeight="1" x14ac:dyDescent="0.25">
      <c r="A35" s="4" t="s">
        <v>30</v>
      </c>
      <c r="B35" s="12"/>
      <c r="C35" s="10" t="str">
        <f>IF(B35="","",(B35-9)/1.1)</f>
        <v/>
      </c>
      <c r="D35" s="4" t="s">
        <v>63</v>
      </c>
      <c r="E35" s="12"/>
      <c r="F35" s="13" t="str">
        <f>IF(E35="","",(E35-4)/0.2)</f>
        <v/>
      </c>
    </row>
    <row r="36" spans="1:6" ht="18" customHeight="1" x14ac:dyDescent="0.25">
      <c r="A36" s="4" t="s">
        <v>31</v>
      </c>
      <c r="B36" s="12"/>
      <c r="C36" s="10" t="str">
        <f>IF(B36="","",(B36-7.9)/1.7)</f>
        <v/>
      </c>
      <c r="D36" s="4" t="s">
        <v>64</v>
      </c>
      <c r="E36" s="12"/>
      <c r="F36" s="13" t="str">
        <f>IF(E36="","",(E36-1.8)/0.4)</f>
        <v/>
      </c>
    </row>
    <row r="37" spans="1:6" ht="18" customHeight="1" thickBot="1" x14ac:dyDescent="0.3">
      <c r="A37" s="4" t="s">
        <v>32</v>
      </c>
      <c r="B37" s="14"/>
      <c r="C37" s="24"/>
      <c r="D37" s="16"/>
      <c r="F37" s="11"/>
    </row>
    <row r="38" spans="1:6" ht="18" customHeight="1" thickBot="1" x14ac:dyDescent="0.3">
      <c r="A38" s="4" t="s">
        <v>33</v>
      </c>
      <c r="B38" s="12"/>
      <c r="C38" s="11" t="str">
        <f>IF(B38="","",(B38-9.2)/1.1)</f>
        <v/>
      </c>
      <c r="D38" s="8" t="s">
        <v>65</v>
      </c>
      <c r="E38" s="9"/>
      <c r="F38" s="11"/>
    </row>
    <row r="39" spans="1:6" ht="18" customHeight="1" x14ac:dyDescent="0.25">
      <c r="A39" s="4" t="s">
        <v>34</v>
      </c>
      <c r="B39" s="12"/>
      <c r="C39" s="10" t="str">
        <f>IF(B39="","",(B39-8.8)/1.5)</f>
        <v/>
      </c>
      <c r="D39" s="4" t="s">
        <v>66</v>
      </c>
      <c r="E39" s="12"/>
      <c r="F39" s="13" t="str">
        <f>IF(E39="","",(E39-4.7)/0.5)</f>
        <v/>
      </c>
    </row>
    <row r="40" spans="1:6" ht="18" customHeight="1" x14ac:dyDescent="0.25">
      <c r="B40" s="12"/>
      <c r="C40" s="10"/>
      <c r="D40" s="4" t="s">
        <v>67</v>
      </c>
      <c r="E40" s="12"/>
      <c r="F40" s="13" t="str">
        <f>IF(E40="","",(E40-3.6)/1)</f>
        <v/>
      </c>
    </row>
    <row r="41" spans="1:6" ht="18" customHeight="1" x14ac:dyDescent="0.25">
      <c r="B41" s="12"/>
      <c r="C41" s="10"/>
      <c r="D41" s="4" t="s">
        <v>68</v>
      </c>
      <c r="E41" s="12"/>
      <c r="F41" s="13" t="str">
        <f>IF(E41="","",(E41-3.8)/0.5)</f>
        <v/>
      </c>
    </row>
    <row r="42" spans="1:6" x14ac:dyDescent="0.25">
      <c r="B42" s="17"/>
      <c r="C42" s="11"/>
      <c r="D42" s="7"/>
    </row>
    <row r="43" spans="1:6" x14ac:dyDescent="0.25">
      <c r="C43" s="22"/>
      <c r="D43" s="25"/>
    </row>
    <row r="44" spans="1:6" x14ac:dyDescent="0.25">
      <c r="C44" s="22"/>
      <c r="D44" s="28"/>
      <c r="E44" s="28"/>
      <c r="F44" s="28"/>
    </row>
    <row r="45" spans="1:6" x14ac:dyDescent="0.25">
      <c r="C45" s="22"/>
      <c r="D45" s="7"/>
    </row>
    <row r="46" spans="1:6" x14ac:dyDescent="0.25">
      <c r="C46" s="22"/>
    </row>
  </sheetData>
  <sheetProtection password="86D5" sheet="1" objects="1" scenarios="1"/>
  <mergeCells count="5">
    <mergeCell ref="D2:F2"/>
    <mergeCell ref="D44:F44"/>
    <mergeCell ref="A2:C2"/>
    <mergeCell ref="A3:C3"/>
    <mergeCell ref="D3:F3"/>
  </mergeCells>
  <pageMargins left="0.7" right="0.7" top="0.59375" bottom="0.75" header="0.3" footer="0.39583333333333331"/>
  <pageSetup paperSize="9" orientation="portrait" horizontalDpi="300" verticalDpi="300" r:id="rId1"/>
  <headerFooter>
    <oddFooter>&amp;L&amp;10Groupe Cogni-Sciences
Laboratoire de Psychologie et NeuroCognition &amp;R&amp;10Laboratoire des Sciences de l'éducation
UPMF Grenoble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view="pageLayout" topLeftCell="A4" zoomScaleNormal="100" workbookViewId="0">
      <selection activeCell="B12" sqref="B12"/>
    </sheetView>
  </sheetViews>
  <sheetFormatPr baseColWidth="10" defaultRowHeight="15" x14ac:dyDescent="0.25"/>
  <cols>
    <col min="1" max="1" width="25.7109375" style="4" customWidth="1"/>
    <col min="2" max="2" width="8.7109375" style="2" customWidth="1"/>
    <col min="3" max="3" width="8.7109375" style="21" customWidth="1"/>
    <col min="4" max="4" width="25.7109375" style="4" customWidth="1"/>
    <col min="5" max="5" width="8.7109375" style="2" customWidth="1"/>
    <col min="6" max="6" width="8.7109375" style="21" customWidth="1"/>
  </cols>
  <sheetData>
    <row r="1" spans="1:6" ht="18" customHeight="1" thickBot="1" x14ac:dyDescent="0.3">
      <c r="A1" s="1"/>
      <c r="C1" s="3" t="s">
        <v>0</v>
      </c>
      <c r="F1" s="3" t="s">
        <v>71</v>
      </c>
    </row>
    <row r="2" spans="1:6" ht="18" customHeight="1" x14ac:dyDescent="0.25">
      <c r="A2" s="26" t="s">
        <v>2</v>
      </c>
      <c r="B2" s="26"/>
      <c r="C2" s="26"/>
      <c r="D2" s="27" t="s">
        <v>3</v>
      </c>
      <c r="E2" s="27"/>
      <c r="F2" s="27"/>
    </row>
    <row r="3" spans="1:6" ht="18" customHeight="1" x14ac:dyDescent="0.25">
      <c r="A3" s="26" t="s">
        <v>4</v>
      </c>
      <c r="B3" s="26"/>
      <c r="C3" s="26"/>
      <c r="D3" s="27" t="s">
        <v>5</v>
      </c>
      <c r="E3" s="27"/>
      <c r="F3" s="27"/>
    </row>
    <row r="4" spans="1:6" ht="18" customHeight="1" thickBot="1" x14ac:dyDescent="0.3">
      <c r="B4" s="5" t="s">
        <v>6</v>
      </c>
      <c r="C4" s="6" t="s">
        <v>7</v>
      </c>
      <c r="D4" s="7"/>
      <c r="E4" s="5" t="s">
        <v>6</v>
      </c>
      <c r="F4" s="6" t="s">
        <v>7</v>
      </c>
    </row>
    <row r="5" spans="1:6" ht="18" customHeight="1" thickBot="1" x14ac:dyDescent="0.3">
      <c r="A5" s="8" t="s">
        <v>8</v>
      </c>
      <c r="B5" s="9"/>
      <c r="C5" s="10"/>
      <c r="D5" s="8" t="s">
        <v>35</v>
      </c>
      <c r="E5" s="9"/>
      <c r="F5" s="11"/>
    </row>
    <row r="6" spans="1:6" ht="18" customHeight="1" x14ac:dyDescent="0.25">
      <c r="A6" s="4" t="s">
        <v>9</v>
      </c>
      <c r="B6" s="12"/>
      <c r="C6" s="15" t="str">
        <f>IF(B6="","",(B6-136.8)/30.9)</f>
        <v/>
      </c>
      <c r="D6" s="4" t="s">
        <v>36</v>
      </c>
      <c r="E6" s="12"/>
      <c r="F6" s="13" t="str">
        <f>IF(E6="","",(E6-15.9)/0.4)</f>
        <v/>
      </c>
    </row>
    <row r="7" spans="1:6" ht="18" customHeight="1" x14ac:dyDescent="0.25">
      <c r="A7" s="4" t="s">
        <v>10</v>
      </c>
      <c r="B7" s="12"/>
      <c r="C7" s="15" t="str">
        <f>IF(B7="","",(B7-119.2)/29.4)</f>
        <v/>
      </c>
      <c r="D7" s="4" t="s">
        <v>37</v>
      </c>
      <c r="E7" s="12"/>
      <c r="F7" s="13" t="str">
        <f>IF(E7="","",(E7-15.7)/0.7)</f>
        <v/>
      </c>
    </row>
    <row r="8" spans="1:6" ht="18" customHeight="1" x14ac:dyDescent="0.25">
      <c r="A8" s="4" t="s">
        <v>11</v>
      </c>
      <c r="B8" s="14"/>
      <c r="C8" s="15"/>
      <c r="D8" s="4" t="s">
        <v>38</v>
      </c>
      <c r="E8" s="12"/>
      <c r="F8" s="13" t="str">
        <f>IF(E8="","",(E8-19.4)/1)</f>
        <v/>
      </c>
    </row>
    <row r="9" spans="1:6" ht="18" customHeight="1" x14ac:dyDescent="0.25">
      <c r="A9" s="4" t="s">
        <v>12</v>
      </c>
      <c r="B9" s="12"/>
      <c r="C9" s="15" t="str">
        <f>IF(B9="","",(B9-19)/1.5)</f>
        <v/>
      </c>
      <c r="D9" s="4" t="s">
        <v>39</v>
      </c>
      <c r="E9" s="12"/>
      <c r="F9" s="13" t="str">
        <f>IF(E9="","",(E9-10.2)/3.4)</f>
        <v/>
      </c>
    </row>
    <row r="10" spans="1:6" ht="18" customHeight="1" x14ac:dyDescent="0.25">
      <c r="A10" s="4" t="s">
        <v>13</v>
      </c>
      <c r="B10" s="12"/>
      <c r="C10" s="15" t="str">
        <f>IF(B10="","",-(B10-18.2)/6.8)</f>
        <v/>
      </c>
      <c r="D10" s="4" t="s">
        <v>40</v>
      </c>
      <c r="E10" s="12"/>
      <c r="F10" s="13" t="str">
        <f>IF(E10="","",(E10-24.3)/4.9)</f>
        <v/>
      </c>
    </row>
    <row r="11" spans="1:6" ht="18" customHeight="1" x14ac:dyDescent="0.25">
      <c r="A11" s="4" t="s">
        <v>14</v>
      </c>
      <c r="B11" s="12"/>
      <c r="C11" s="15" t="str">
        <f>IF(B11="","",(B11-19.7)/0.8)</f>
        <v/>
      </c>
      <c r="D11" s="4" t="s">
        <v>41</v>
      </c>
      <c r="E11" s="12"/>
      <c r="F11" s="13" t="str">
        <f>IF(E11="","",(E11-28.3)/1.8)</f>
        <v/>
      </c>
    </row>
    <row r="12" spans="1:6" ht="18" customHeight="1" x14ac:dyDescent="0.25">
      <c r="A12" s="4" t="s">
        <v>15</v>
      </c>
      <c r="B12" s="12"/>
      <c r="C12" s="15" t="str">
        <f>IF(B12="","",-(B12-16.9)/4.9)</f>
        <v/>
      </c>
      <c r="D12" s="4" t="s">
        <v>42</v>
      </c>
      <c r="E12" s="12"/>
      <c r="F12" s="13" t="str">
        <f>IF(E12="","",(E12-17.5)/1.7)</f>
        <v/>
      </c>
    </row>
    <row r="13" spans="1:6" ht="18" customHeight="1" thickBot="1" x14ac:dyDescent="0.3">
      <c r="A13" s="4" t="s">
        <v>16</v>
      </c>
      <c r="B13" s="12"/>
      <c r="C13" s="24" t="str">
        <f>IF(B13="","",(B13-17.8)/2)</f>
        <v/>
      </c>
      <c r="D13" s="16"/>
      <c r="E13" s="17"/>
      <c r="F13" s="11"/>
    </row>
    <row r="14" spans="1:6" ht="18" customHeight="1" thickBot="1" x14ac:dyDescent="0.3">
      <c r="A14" s="4" t="s">
        <v>17</v>
      </c>
      <c r="B14" s="12"/>
      <c r="C14" s="15" t="str">
        <f>IF(B14="","",-(B14-26)/8.3)</f>
        <v/>
      </c>
      <c r="D14" s="8" t="s">
        <v>43</v>
      </c>
      <c r="E14" s="9"/>
      <c r="F14" s="11"/>
    </row>
    <row r="15" spans="1:6" ht="18" customHeight="1" x14ac:dyDescent="0.25">
      <c r="A15" s="4" t="s">
        <v>18</v>
      </c>
      <c r="B15" s="17"/>
      <c r="C15" s="10"/>
      <c r="D15" s="4" t="s">
        <v>44</v>
      </c>
      <c r="E15" s="12"/>
      <c r="F15" s="13" t="str">
        <f>IF(E15="","",(E15-13.8)/0.6)</f>
        <v/>
      </c>
    </row>
    <row r="16" spans="1:6" ht="18" customHeight="1" x14ac:dyDescent="0.25">
      <c r="A16" s="4" t="s">
        <v>12</v>
      </c>
      <c r="B16" s="12"/>
      <c r="C16" s="10" t="str">
        <f>IF(B16="","",(B16-15.9)/3.7)</f>
        <v/>
      </c>
      <c r="D16" s="4" t="s">
        <v>45</v>
      </c>
      <c r="E16" s="12"/>
      <c r="F16" s="13" t="str">
        <f>IF(E16="","",-(E16-21.1)/4.6)</f>
        <v/>
      </c>
    </row>
    <row r="17" spans="1:6" ht="18" customHeight="1" x14ac:dyDescent="0.25">
      <c r="A17" s="4" t="s">
        <v>13</v>
      </c>
      <c r="B17" s="12"/>
      <c r="C17" s="10" t="str">
        <f>IF(B17="","",-(B17-26.6)/10.6)</f>
        <v/>
      </c>
      <c r="D17" s="4" t="s">
        <v>46</v>
      </c>
      <c r="E17" s="12"/>
      <c r="F17" s="13" t="str">
        <f>IF(E17="","",-(E17-14.5)/3.6)</f>
        <v/>
      </c>
    </row>
    <row r="18" spans="1:6" ht="18" customHeight="1" x14ac:dyDescent="0.25">
      <c r="A18" s="4" t="s">
        <v>14</v>
      </c>
      <c r="B18" s="12"/>
      <c r="C18" s="10" t="str">
        <f>IF(B18="","",(B18-19)/1.6)</f>
        <v/>
      </c>
      <c r="D18" s="4" t="s">
        <v>47</v>
      </c>
      <c r="E18" s="12"/>
      <c r="F18" s="13" t="str">
        <f>IF(E18="","",(E18-14.8)/1.5)</f>
        <v/>
      </c>
    </row>
    <row r="19" spans="1:6" ht="18" customHeight="1" x14ac:dyDescent="0.25">
      <c r="A19" s="4" t="s">
        <v>15</v>
      </c>
      <c r="B19" s="12"/>
      <c r="C19" s="10" t="str">
        <f>IF(B19="","",-(B19-24.1)/8.9)</f>
        <v/>
      </c>
      <c r="D19" s="4" t="s">
        <v>48</v>
      </c>
      <c r="E19" s="12"/>
      <c r="F19" s="13" t="str">
        <f>IF(E19="","",(E19-11.4)/1.2)</f>
        <v/>
      </c>
    </row>
    <row r="20" spans="1:6" ht="18" customHeight="1" x14ac:dyDescent="0.25">
      <c r="A20" s="4" t="s">
        <v>16</v>
      </c>
      <c r="B20" s="12"/>
      <c r="C20" s="10" t="str">
        <f>IF(B20="","",(B20-17.4)/2)</f>
        <v/>
      </c>
      <c r="D20" s="4" t="s">
        <v>49</v>
      </c>
      <c r="E20" s="12"/>
      <c r="F20" s="13" t="str">
        <f>IF(E20="","",(E20-7.8)/2)</f>
        <v/>
      </c>
    </row>
    <row r="21" spans="1:6" ht="18" customHeight="1" x14ac:dyDescent="0.25">
      <c r="A21" s="4" t="s">
        <v>17</v>
      </c>
      <c r="B21" s="12"/>
      <c r="C21" s="10" t="str">
        <f>IF(B21="","",-(B21-32.9)/11.9)</f>
        <v/>
      </c>
      <c r="D21" s="4" t="s">
        <v>75</v>
      </c>
      <c r="E21" s="18"/>
      <c r="F21" s="13" t="str">
        <f>IF(E21="","",-(E21-85.8)/32)</f>
        <v/>
      </c>
    </row>
    <row r="22" spans="1:6" ht="18" customHeight="1" x14ac:dyDescent="0.25">
      <c r="B22" s="17"/>
      <c r="C22" s="10"/>
      <c r="D22" s="4" t="s">
        <v>50</v>
      </c>
      <c r="E22" s="12"/>
      <c r="F22" s="13" t="str">
        <f>IF(E22="","",(E22-8.8)/1.6)</f>
        <v/>
      </c>
    </row>
    <row r="23" spans="1:6" ht="18" customHeight="1" x14ac:dyDescent="0.25">
      <c r="A23" s="4" t="s">
        <v>19</v>
      </c>
      <c r="B23" s="12"/>
      <c r="C23" s="10" t="str">
        <f>IF(B23="","",(B23-12.4)/2.2)</f>
        <v/>
      </c>
      <c r="D23" s="4" t="s">
        <v>51</v>
      </c>
      <c r="E23" s="12"/>
      <c r="F23" s="13" t="str">
        <f>IF(E23="","",(E23-6)/1.6)</f>
        <v/>
      </c>
    </row>
    <row r="24" spans="1:6" ht="18" customHeight="1" x14ac:dyDescent="0.25">
      <c r="A24" s="4" t="s">
        <v>20</v>
      </c>
      <c r="B24" s="12"/>
      <c r="C24" s="10" t="str">
        <f>IF(B24="","",-(B24-97.9)/26)</f>
        <v/>
      </c>
      <c r="D24" s="4" t="s">
        <v>52</v>
      </c>
      <c r="E24" s="12"/>
      <c r="F24" s="13" t="str">
        <f>IF(E24="","",(E24-7.7)/2.5)</f>
        <v/>
      </c>
    </row>
    <row r="25" spans="1:6" ht="18" customHeight="1" x14ac:dyDescent="0.25">
      <c r="A25" s="4" t="s">
        <v>21</v>
      </c>
      <c r="B25" s="12"/>
      <c r="C25" s="10" t="str">
        <f>IF(B25="","",(B25-43.3)/2.5)</f>
        <v/>
      </c>
      <c r="D25" s="4" t="s">
        <v>53</v>
      </c>
      <c r="E25" s="12"/>
      <c r="F25" s="13" t="str">
        <f>IF(E25="","",(E25-7.9)/2.4)</f>
        <v/>
      </c>
    </row>
    <row r="26" spans="1:6" ht="18" customHeight="1" x14ac:dyDescent="0.25">
      <c r="A26" s="4" t="s">
        <v>22</v>
      </c>
      <c r="B26" s="12"/>
      <c r="C26" s="23" t="str">
        <f>IF(B26="","",(B26-49.2)/1.8)</f>
        <v/>
      </c>
      <c r="D26" s="4" t="s">
        <v>54</v>
      </c>
      <c r="E26" s="12"/>
      <c r="F26" s="11" t="str">
        <f>IF(E26="","",(E26-4.6)/0.7)</f>
        <v/>
      </c>
    </row>
    <row r="27" spans="1:6" ht="18" customHeight="1" thickBot="1" x14ac:dyDescent="0.3">
      <c r="A27" s="4" t="s">
        <v>23</v>
      </c>
      <c r="B27" s="12"/>
      <c r="C27" s="11" t="str">
        <f>IF(B27="","",-(B27-30.7)/7.6)</f>
        <v/>
      </c>
      <c r="D27" s="16"/>
      <c r="E27" s="17"/>
      <c r="F27" s="11"/>
    </row>
    <row r="28" spans="1:6" ht="18" customHeight="1" thickBot="1" x14ac:dyDescent="0.3">
      <c r="A28" s="4" t="s">
        <v>24</v>
      </c>
      <c r="B28" s="12"/>
      <c r="C28" s="10" t="str">
        <f>IF(B28="","",(B28-49.9)/0.5)</f>
        <v/>
      </c>
      <c r="D28" s="8" t="s">
        <v>55</v>
      </c>
      <c r="E28" s="9"/>
      <c r="F28" s="13"/>
    </row>
    <row r="29" spans="1:6" ht="18" customHeight="1" x14ac:dyDescent="0.25">
      <c r="A29" s="4" t="s">
        <v>25</v>
      </c>
      <c r="B29" s="12"/>
      <c r="C29" s="10" t="str">
        <f>IF(B29="","",-(B29-28)/6.3)</f>
        <v/>
      </c>
      <c r="D29" s="4" t="s">
        <v>56</v>
      </c>
      <c r="E29" s="12"/>
      <c r="F29" s="13" t="str">
        <f>IF(E29="","",(E29-31.4)/3.3)</f>
        <v/>
      </c>
    </row>
    <row r="30" spans="1:6" ht="18" customHeight="1" x14ac:dyDescent="0.25">
      <c r="A30" s="4" t="s">
        <v>26</v>
      </c>
      <c r="B30" s="12"/>
      <c r="C30" s="10" t="str">
        <f>IF(B30="","",(B30-10)/1.4)</f>
        <v/>
      </c>
      <c r="D30" s="4" t="s">
        <v>57</v>
      </c>
      <c r="E30" s="12"/>
      <c r="F30" s="19" t="str">
        <f>IF(E30="","",(E30-19.6)/0.9)</f>
        <v/>
      </c>
    </row>
    <row r="31" spans="1:6" ht="18" customHeight="1" x14ac:dyDescent="0.25">
      <c r="A31" s="4" t="s">
        <v>27</v>
      </c>
      <c r="B31" s="12"/>
      <c r="C31" s="10" t="str">
        <f>IF(B31="","",-(B31-121)/31.7)</f>
        <v/>
      </c>
      <c r="D31" s="4" t="s">
        <v>58</v>
      </c>
      <c r="E31" s="12"/>
      <c r="F31" s="13" t="str">
        <f>IF(E31="","",-(E31-60.2)/16.2)</f>
        <v/>
      </c>
    </row>
    <row r="32" spans="1:6" ht="18" customHeight="1" x14ac:dyDescent="0.25">
      <c r="B32" s="14"/>
      <c r="C32" s="15"/>
      <c r="D32" s="4" t="s">
        <v>59</v>
      </c>
      <c r="E32" s="12"/>
      <c r="F32" s="19" t="str">
        <f>IF(E32="","",(E32-4.7)/0.6)</f>
        <v/>
      </c>
    </row>
    <row r="33" spans="1:6" ht="18" customHeight="1" x14ac:dyDescent="0.25">
      <c r="A33" s="4" t="s">
        <v>28</v>
      </c>
      <c r="B33" s="14"/>
      <c r="C33" s="15"/>
      <c r="D33" s="4" t="s">
        <v>60</v>
      </c>
      <c r="E33" s="12"/>
      <c r="F33" s="13" t="str">
        <f>IF(E33="","",-(E33-65.9)/25.4)</f>
        <v/>
      </c>
    </row>
    <row r="34" spans="1:6" ht="18" customHeight="1" x14ac:dyDescent="0.25">
      <c r="A34" s="4" t="s">
        <v>29</v>
      </c>
      <c r="B34" s="12"/>
      <c r="C34" s="10" t="str">
        <f>IF(B34="","",(B34-9.4)/0.8)</f>
        <v/>
      </c>
      <c r="D34" s="4" t="s">
        <v>61</v>
      </c>
      <c r="E34" s="12"/>
      <c r="F34" s="19" t="str">
        <f>IF(E34="","",(E34-4.7)/0.7)</f>
        <v/>
      </c>
    </row>
    <row r="35" spans="1:6" ht="18" customHeight="1" x14ac:dyDescent="0.25">
      <c r="A35" s="4" t="s">
        <v>30</v>
      </c>
      <c r="B35" s="12"/>
      <c r="C35" s="10" t="str">
        <f>IF(B35="","",(B35-9.4)/1)</f>
        <v/>
      </c>
      <c r="D35" s="4" t="s">
        <v>62</v>
      </c>
      <c r="E35" s="12"/>
      <c r="F35" s="13" t="str">
        <f>IF(E35="","",-(E35-94.3)/34.8)</f>
        <v/>
      </c>
    </row>
    <row r="36" spans="1:6" ht="18" customHeight="1" x14ac:dyDescent="0.25">
      <c r="A36" s="4" t="s">
        <v>31</v>
      </c>
      <c r="B36" s="12"/>
      <c r="C36" s="10" t="str">
        <f>IF(B36="","",(B36-8.7)/1.5)</f>
        <v/>
      </c>
      <c r="D36" s="4" t="s">
        <v>63</v>
      </c>
      <c r="E36" s="12"/>
      <c r="F36" s="13" t="str">
        <f>IF(E36="","",(E36-3.9)/0.4)</f>
        <v/>
      </c>
    </row>
    <row r="37" spans="1:6" ht="18" customHeight="1" x14ac:dyDescent="0.25">
      <c r="A37" s="4" t="s">
        <v>32</v>
      </c>
      <c r="B37" s="14"/>
      <c r="C37" s="24"/>
      <c r="D37" s="4" t="s">
        <v>64</v>
      </c>
      <c r="E37" s="12"/>
      <c r="F37" s="11" t="str">
        <f>IF(E37="","",(E37-1.8)/0.4)</f>
        <v/>
      </c>
    </row>
    <row r="38" spans="1:6" ht="18" customHeight="1" thickBot="1" x14ac:dyDescent="0.3">
      <c r="A38" s="4" t="s">
        <v>33</v>
      </c>
      <c r="B38" s="12"/>
      <c r="C38" s="11" t="str">
        <f>IF(B38="","",(B38-9.3)/1)</f>
        <v/>
      </c>
      <c r="D38" s="16"/>
      <c r="F38" s="11"/>
    </row>
    <row r="39" spans="1:6" ht="18" customHeight="1" thickBot="1" x14ac:dyDescent="0.3">
      <c r="A39" s="4" t="s">
        <v>34</v>
      </c>
      <c r="B39" s="12"/>
      <c r="C39" s="10" t="str">
        <f>IF(B39="","",(B39-9.1)/1.2)</f>
        <v/>
      </c>
      <c r="D39" s="8" t="s">
        <v>65</v>
      </c>
      <c r="E39" s="9"/>
      <c r="F39" s="13"/>
    </row>
    <row r="40" spans="1:6" ht="18" customHeight="1" x14ac:dyDescent="0.25">
      <c r="A40" s="20" t="s">
        <v>72</v>
      </c>
      <c r="C40" s="10"/>
      <c r="D40" s="4" t="s">
        <v>66</v>
      </c>
      <c r="E40" s="12"/>
      <c r="F40" s="13" t="str">
        <f>IF(E40="","",(E40-5.3)/0.9)</f>
        <v/>
      </c>
    </row>
    <row r="41" spans="1:6" ht="18" customHeight="1" x14ac:dyDescent="0.25">
      <c r="A41" s="4" t="s">
        <v>73</v>
      </c>
      <c r="B41" s="12"/>
      <c r="C41" s="10" t="str">
        <f>IF(B41="","",(B41-7.3)/1.9)</f>
        <v/>
      </c>
      <c r="D41" s="4" t="s">
        <v>67</v>
      </c>
      <c r="E41" s="12"/>
      <c r="F41" s="13" t="str">
        <f>IF(E41="","",(E41-4)/1.1)</f>
        <v/>
      </c>
    </row>
    <row r="42" spans="1:6" x14ac:dyDescent="0.25">
      <c r="A42" s="4" t="s">
        <v>74</v>
      </c>
      <c r="B42" s="12"/>
      <c r="C42" s="10" t="str">
        <f>IF(B42="","",(B42-6.5)/2.4)</f>
        <v/>
      </c>
      <c r="D42" s="4" t="s">
        <v>68</v>
      </c>
      <c r="E42" s="12"/>
      <c r="F42" s="13" t="str">
        <f>IF(E42="","",(E42-3.9)/0.3)</f>
        <v/>
      </c>
    </row>
    <row r="43" spans="1:6" x14ac:dyDescent="0.25">
      <c r="C43" s="22"/>
      <c r="D43" s="7"/>
    </row>
    <row r="44" spans="1:6" x14ac:dyDescent="0.25">
      <c r="C44" s="22"/>
      <c r="D44" s="28"/>
      <c r="E44" s="28"/>
      <c r="F44" s="28"/>
    </row>
    <row r="45" spans="1:6" x14ac:dyDescent="0.25">
      <c r="C45" s="22"/>
      <c r="D45" s="7"/>
    </row>
    <row r="46" spans="1:6" x14ac:dyDescent="0.25">
      <c r="C46" s="22"/>
    </row>
  </sheetData>
  <sheetProtection password="86D5" sheet="1" objects="1" scenarios="1"/>
  <mergeCells count="5">
    <mergeCell ref="A2:C2"/>
    <mergeCell ref="D2:F2"/>
    <mergeCell ref="A3:C3"/>
    <mergeCell ref="D3:F3"/>
    <mergeCell ref="D44:F44"/>
  </mergeCells>
  <pageMargins left="0.7" right="0.7" top="0.59375" bottom="0.75" header="0.3" footer="0.39583333333333331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CE1</vt:lpstr>
      <vt:lpstr>CE2</vt:lpstr>
      <vt:lpstr>CM1</vt:lpstr>
      <vt:lpstr>CM2</vt:lpstr>
    </vt:vector>
  </TitlesOfParts>
  <Company>Academie de grenoble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Guillemette Pouget</dc:creator>
  <cp:lastModifiedBy>Guillemette Pouget</cp:lastModifiedBy>
  <cp:lastPrinted>2017-06-22T15:12:17Z</cp:lastPrinted>
  <dcterms:created xsi:type="dcterms:W3CDTF">2017-06-22T13:54:46Z</dcterms:created>
  <dcterms:modified xsi:type="dcterms:W3CDTF">2017-06-22T15:33:58Z</dcterms:modified>
</cp:coreProperties>
</file>